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C:\Dokumente Olaf\Privat\_BEUTH\2022_23 Entsorgung (Abfall und Abwasser)\Ü_02\"/>
    </mc:Choice>
  </mc:AlternateContent>
  <xr:revisionPtr revIDLastSave="0" documentId="8_{B8EFDD1D-4B5E-45E7-B1E2-0D151EDACE22}" xr6:coauthVersionLast="47" xr6:coauthVersionMax="47" xr10:uidLastSave="{00000000-0000-0000-0000-000000000000}"/>
  <bookViews>
    <workbookView xWindow="600" yWindow="180" windowWidth="50400" windowHeight="20700" tabRatio="844" firstSheet="20" activeTab="22" xr2:uid="{00000000-000D-0000-FFFF-FFFF00000000}"/>
  </bookViews>
  <sheets>
    <sheet name="0 Bemessung VKB" sheetId="13" r:id="rId1"/>
    <sheet name="0 Ablaufplan Bemessung" sheetId="14" r:id="rId2"/>
    <sheet name="0 Verfahrenswahl" sheetId="15" r:id="rId3"/>
    <sheet name="0 Standard Fraktionierg. Tab." sheetId="61" r:id="rId4"/>
    <sheet name="0 Standard Fraktionierg. Schema" sheetId="62" r:id="rId5"/>
    <sheet name="0 Zulauf-Ablauf-Vergleich" sheetId="57" r:id="rId6"/>
    <sheet name="1 Zulaufwerte Aufgabe" sheetId="64" r:id="rId7"/>
    <sheet name="1 Zulaufwerte" sheetId="2" r:id="rId8"/>
    <sheet name="2 CSB-Bilanz Aufg." sheetId="48" r:id="rId9"/>
    <sheet name="2a CSB-Bilanz" sheetId="17" r:id="rId10"/>
    <sheet name="2b CSB-TS-Fraktionierg. Schema" sheetId="63" r:id="rId11"/>
    <sheet name="3 N-Bilanz Aufg." sheetId="34" r:id="rId12"/>
    <sheet name="3 N-Bilanz" sheetId="19" r:id="rId13"/>
    <sheet name="4 P-Bilanz Aufg." sheetId="43" r:id="rId14"/>
    <sheet name="4 P-Bilanz" sheetId="29" r:id="rId15"/>
    <sheet name="5 tTS,aerob, Anteil VD Aufg." sheetId="35" r:id="rId16"/>
    <sheet name="5 tTS,aerob, Anteil VD" sheetId="20" r:id="rId17"/>
    <sheet name="6 DeNi &amp; C-Quelle Aufg." sheetId="52" r:id="rId18"/>
    <sheet name="6 DeNi &amp; C-Quelle" sheetId="31" r:id="rId19"/>
    <sheet name="7 ÜSd, FT, tTS Aufg." sheetId="42" r:id="rId20"/>
    <sheet name="7 ÜSd, FT, tTS" sheetId="3" r:id="rId21"/>
    <sheet name="8 MTS, VBB, VN, VD Aufg." sheetId="45" r:id="rId22"/>
    <sheet name="8 MTS, VBB, VN, VD" sheetId="18" r:id="rId23"/>
    <sheet name="9 ISV, tE, TSBB, RV Aufg." sheetId="53" r:id="rId24"/>
    <sheet name="9 ISV, tE, TSBB, RV" sheetId="21" r:id="rId25"/>
    <sheet name="10 int. Rezi Aufg." sheetId="46" r:id="rId26"/>
    <sheet name="10 int. Rezi" sheetId="30" r:id="rId27"/>
    <sheet name="11 O2-Zufuhr Aufg." sheetId="47" r:id="rId28"/>
    <sheet name="11 O2-Zufuhr" sheetId="11" r:id="rId29"/>
    <sheet name="12 Säurekapazität Aufg." sheetId="50" r:id="rId30"/>
    <sheet name="12 Säurekapazität" sheetId="12" r:id="rId31"/>
    <sheet name="13 qA, qSV, VSV, ANB Aufg." sheetId="40" r:id="rId32"/>
    <sheet name="13 qA, qSV, VSV, ANB" sheetId="25" r:id="rId33"/>
    <sheet name="14 NKB Aufg." sheetId="51" r:id="rId34"/>
    <sheet name="14 NKB" sheetId="26" r:id="rId35"/>
    <sheet name="Erhöhung RV" sheetId="54" r:id="rId36"/>
    <sheet name="Soll-Ist-Vergleich" sheetId="58" r:id="rId37"/>
    <sheet name="Kontrollrechnung int. Rezi" sheetId="59" r:id="rId38"/>
    <sheet name="Beckenaufteilung" sheetId="60" r:id="rId39"/>
  </sheets>
  <externalReferences>
    <externalReference r:id="rId40"/>
  </externalReferences>
  <definedNames>
    <definedName name="ANB">'13 qA, qSV, VSV, ANB'!$D$6</definedName>
    <definedName name="Bd_AFS_Z" localSheetId="6">'[1]1 Zulaufwerte'!$E$12</definedName>
    <definedName name="Bd_AFS_Z">'1 Zulaufwerte'!$E$12</definedName>
    <definedName name="Bd_AFS_ZB">'1 Zulaufwerte'!$E$24</definedName>
    <definedName name="Bd_BSB_Dos" localSheetId="6">'[1]6 DeNi &amp; C-Quelle'!$D$7</definedName>
    <definedName name="Bd_BSB_Dos">'6 DeNi &amp; C-Quelle'!$D$7</definedName>
    <definedName name="Bd_BSB_Z" localSheetId="6">'[1]1 Zulaufwerte'!$E$8</definedName>
    <definedName name="Bd_BSB_Z">'1 Zulaufwerte'!$E$8</definedName>
    <definedName name="Bd_BSB_ZB" localSheetId="6">'[1]1 Zulaufwerte'!$E$20</definedName>
    <definedName name="Bd_BSB_ZB">'1 Zulaufwerte'!$E$20</definedName>
    <definedName name="Bd_CSB_Z" localSheetId="6">'[1]1 Zulaufwerte'!$E$7</definedName>
    <definedName name="Bd_CSB_Z">'1 Zulaufwerte'!$E$7</definedName>
    <definedName name="Bd_CSB_ZB" localSheetId="6">'[1]1 Zulaufwerte'!$E$19</definedName>
    <definedName name="Bd_CSB_ZB">'1 Zulaufwerte'!$E$19</definedName>
    <definedName name="Bd_NO3_Z" localSheetId="6">'[1]1 Zulaufwerte'!$E$10</definedName>
    <definedName name="Bd_NO3_Z">'1 Zulaufwerte'!$E$10</definedName>
    <definedName name="Bd_NO3_ZB">'1 Zulaufwerte'!$E$22</definedName>
    <definedName name="Bd_P_Z" localSheetId="6">'[1]1 Zulaufwerte'!$E$11</definedName>
    <definedName name="Bd_P_Z">'1 Zulaufwerte'!$E$11</definedName>
    <definedName name="Bd_P_ZB" localSheetId="6">'[1]1 Zulaufwerte'!$E$23</definedName>
    <definedName name="Bd_P_ZB">'1 Zulaufwerte'!$E$23</definedName>
    <definedName name="Bd_TKN_Z" localSheetId="6">'[1]1 Zulaufwerte'!$E$9</definedName>
    <definedName name="Bd_TKN_Z">'1 Zulaufwerte'!$E$9</definedName>
    <definedName name="Bd_TKN_ZB" localSheetId="6">'[1]1 Zulaufwerte'!$E$21</definedName>
    <definedName name="Bd_TKN_ZB">'1 Zulaufwerte'!$E$21</definedName>
    <definedName name="BR_BSB" localSheetId="6">'[1]8 MTS, VBB, VN, VD'!$D$8</definedName>
    <definedName name="BR_BSB">'8 MTS, VBB, VN, VD'!$D$8</definedName>
    <definedName name="BTS_BSB">'8 MTS, VBB, VN, VD'!$D$9</definedName>
    <definedName name="CBSB_ZB" localSheetId="6">'[1]1 Zulaufwerte'!$H$26</definedName>
    <definedName name="CBSB_ZB">'1 Zulaufwerte'!$H$26</definedName>
    <definedName name="CCSB_abb_ZB" localSheetId="6">'[1]2a CSB-Bilanz'!$E$10</definedName>
    <definedName name="CCSB_abb_ZB">'2a CSB-Bilanz'!$E$10</definedName>
    <definedName name="CCSB_ÜW">'1 Zulaufwerte'!$E$13</definedName>
    <definedName name="CCSB_ZB" localSheetId="6">'[1]1 Zulaufwerte'!$E$25</definedName>
    <definedName name="CCSB_ZB">'1 Zulaufwerte'!$E$25</definedName>
    <definedName name="CN_ZB" localSheetId="6">'[1]3 N-Bilanz'!$D$4</definedName>
    <definedName name="CN_ZB">'3 N-Bilanz'!$D$4</definedName>
    <definedName name="CP_AN" localSheetId="6">'[1]4 P-Bilanz'!$D$4</definedName>
    <definedName name="CP_AN">'4 P-Bilanz'!$D$4</definedName>
    <definedName name="CP_ÜW" localSheetId="6">'[1]1 Zulaufwerte'!$E$15</definedName>
    <definedName name="CP_ÜW">'1 Zulaufwerte'!$E$15</definedName>
    <definedName name="CP_ZB" localSheetId="6">'[1]1 Zulaufwerte'!$E$27</definedName>
    <definedName name="CP_ZB">'1 Zulaufwerte'!$E$27</definedName>
    <definedName name="CS" localSheetId="6">'[1]11 O2-Zufuhr'!$E$19</definedName>
    <definedName name="CS">'11 O2-Zufuhr'!$E$21</definedName>
    <definedName name="CTKN_ZB" localSheetId="6">'[1]3 N-Bilanz'!$D$5</definedName>
    <definedName name="CTKN_ZB">'3 N-Bilanz'!$D$5</definedName>
    <definedName name="Cx" localSheetId="6">'[1]11 O2-Zufuhr'!$E$20</definedName>
    <definedName name="Cx">'11 O2-Zufuhr'!$E$22</definedName>
    <definedName name="erf_alpha_OC">'11 O2-Zufuhr'!$E$20</definedName>
    <definedName name="EW" localSheetId="6">'[1]1 Zulaufwerte'!$E$3</definedName>
    <definedName name="EW">'1 Zulaufwerte'!$E$3</definedName>
    <definedName name="fC" localSheetId="6">'[1]11 O2-Zufuhr'!$E$16</definedName>
    <definedName name="fC">'11 O2-Zufuhr'!$E$18</definedName>
    <definedName name="fN" localSheetId="6">'[1]11 O2-Zufuhr'!$E$17</definedName>
    <definedName name="fN">'11 O2-Zufuhr'!$E$19</definedName>
    <definedName name="FT" localSheetId="6">'[1]7 ÜSd, FT, tTS'!$D$9</definedName>
    <definedName name="FT">'7 ÜSd, FT, tTS'!$D$9</definedName>
    <definedName name="h_1" localSheetId="6">'[1]14 NKB'!$D$4</definedName>
    <definedName name="h_1">'14 NKB'!$D$4</definedName>
    <definedName name="h_2" localSheetId="6">'[1]14 NKB'!$D$5</definedName>
    <definedName name="h_2">'14 NKB'!$D$5</definedName>
    <definedName name="h_3" localSheetId="6">'[1]14 NKB'!$D$6</definedName>
    <definedName name="h_3">'14 NKB'!$D$6</definedName>
    <definedName name="h_4" localSheetId="6">'[1]14 NKB'!$D$8</definedName>
    <definedName name="h_4">'14 NKB'!$D$8</definedName>
    <definedName name="ISV" localSheetId="6">'[1]9 ISV, tE, TSBB, RV'!$D$3</definedName>
    <definedName name="ISV">'9 ISV, tE, TSBB, RV'!$D$3</definedName>
    <definedName name="MTS_BB" localSheetId="6">'[1]8 MTS, VBB, VN, VD'!$D$3</definedName>
    <definedName name="MTS_BB">'8 MTS, VBB, VN, VD'!$D$3</definedName>
    <definedName name="OV" localSheetId="6">'[1]2a CSB-Bilanz'!$E$14</definedName>
    <definedName name="OV">'2a CSB-Bilanz'!$E$14</definedName>
    <definedName name="OVd_C" localSheetId="6">'[1]11 O2-Zufuhr'!$E$4</definedName>
    <definedName name="OVd_C">'11 O2-Zufuhr'!$E$4</definedName>
    <definedName name="OVd_D" localSheetId="6">'[1]11 O2-Zufuhr'!$E$13</definedName>
    <definedName name="OVd_D">'11 O2-Zufuhr'!$E$15</definedName>
    <definedName name="OVd_N" localSheetId="6">'[1]11 O2-Zufuhr'!$E$9</definedName>
    <definedName name="OVd_N">'11 O2-Zufuhr'!$E$11</definedName>
    <definedName name="OVh" localSheetId="6">'[1]11 O2-Zufuhr'!$E$14</definedName>
    <definedName name="OVh">'11 O2-Zufuhr'!$E$16</definedName>
    <definedName name="qA" localSheetId="6">'[1]13 qA, qSV, VSV, ANB'!$D$3</definedName>
    <definedName name="qA">'13 qA, qSV, VSV, ANB'!$D$3</definedName>
    <definedName name="Qd" localSheetId="6">'[1]1 Zulaufwerte'!$E$4</definedName>
    <definedName name="Qd">'1 Zulaufwerte'!$E$4</definedName>
    <definedName name="Qm" localSheetId="6">'[1]1 Zulaufwerte'!$F$6</definedName>
    <definedName name="Qm">'1 Zulaufwerte'!$F$6</definedName>
    <definedName name="qSV" localSheetId="6">'[1]13 qA, qSV, VSV, ANB'!$D$4</definedName>
    <definedName name="qSV">'13 qA, qSV, VSV, ANB'!$D$4</definedName>
    <definedName name="Qt" localSheetId="6">'[1]1 Zulaufwerte'!$F$5</definedName>
    <definedName name="Qt">'1 Zulaufwerte'!$F$5</definedName>
    <definedName name="QÜS_d">'7 ÜSd, FT, tTS'!$D$10</definedName>
    <definedName name="RF" localSheetId="6">'[1]10 int. Rezi'!$D$4</definedName>
    <definedName name="RF">'10 int. Rezi'!$D$4</definedName>
    <definedName name="RV" localSheetId="6">'[1]9 ISV, tE, TSBB, RV'!$D$10</definedName>
    <definedName name="RV">'9 ISV, tE, TSBB, RV'!$D$10</definedName>
    <definedName name="SanorgN_ÜW" localSheetId="6">'[1]1 Zulaufwerte'!$E$14</definedName>
    <definedName name="SanorgN_ÜW">'1 Zulaufwerte'!$E$14</definedName>
    <definedName name="SCSB_abb_ZB" localSheetId="6">'[1]2a CSB-Bilanz'!$E$6</definedName>
    <definedName name="SCSB_abb_ZB">'2a CSB-Bilanz'!$E$6</definedName>
    <definedName name="SCSB_Dos" localSheetId="6">'[1]6 DeNi &amp; C-Quelle'!$D$6</definedName>
    <definedName name="SCSB_Dos">'6 DeNi &amp; C-Quelle'!$D$6</definedName>
    <definedName name="SCSB_inert_AN" localSheetId="6">'[1]11 O2-Zufuhr'!$E$5</definedName>
    <definedName name="SCSB_inert_AN">'11 O2-Zufuhr'!$E$7</definedName>
    <definedName name="SCSB_inert_ZB" localSheetId="6">'[1]2a CSB-Bilanz'!$E$7</definedName>
    <definedName name="SCSB_inert_ZB">'2a CSB-Bilanz'!$E$7</definedName>
    <definedName name="SCSB_ZB">'2a CSB-Bilanz'!$E$5</definedName>
    <definedName name="SF" localSheetId="6">'[1]5 tTS,aerob, Anteil VD'!$D$3</definedName>
    <definedName name="SF">'5 tTS,aerob, Anteil VD'!$D$3</definedName>
    <definedName name="SFe_3" localSheetId="6">'[1]12 Säurekapazität'!$D$9</definedName>
    <definedName name="SFe_3">'12 Säurekapazität'!$D$9</definedName>
    <definedName name="SKS_AB" localSheetId="6">'[1]12 Säurekapazität'!$D$4</definedName>
    <definedName name="SKS_AB">'12 Säurekapazität'!$D$4</definedName>
    <definedName name="SNH4_AN" localSheetId="6">'[1]3 N-Bilanz'!$D$10</definedName>
    <definedName name="SNH4_AN">'3 N-Bilanz'!$D$10</definedName>
    <definedName name="SNH4_N" localSheetId="6">'[1]10 int. Rezi'!$D$5</definedName>
    <definedName name="SNH4_N">'10 int. Rezi'!$D$5</definedName>
    <definedName name="SNH4_Schlammw" localSheetId="6">'[1]3 N-Bilanz'!$D$8</definedName>
    <definedName name="SNH4_Schlammw">'3 N-Bilanz'!$D$8</definedName>
    <definedName name="SNH4_ZB" localSheetId="6">'[1]12 Säurekapazität'!$D$5</definedName>
    <definedName name="SNH4_ZB">'12 Säurekapazität'!$D$5</definedName>
    <definedName name="SNO2_ZB" localSheetId="6">'[1]3 N-Bilanz'!$D$7</definedName>
    <definedName name="SNO2_ZB">'3 N-Bilanz'!$D$7</definedName>
    <definedName name="SNO3_AN" localSheetId="6">'[1]3 N-Bilanz'!$D$12</definedName>
    <definedName name="SNO3_AN">'3 N-Bilanz'!$D$12</definedName>
    <definedName name="SNO3_D" localSheetId="6">'[1]3 N-Bilanz'!$D$3</definedName>
    <definedName name="SNO3_D">'3 N-Bilanz'!$D$3</definedName>
    <definedName name="SNO3_D_Ext" localSheetId="6">'[1]6 DeNi &amp; C-Quelle'!$F$5</definedName>
    <definedName name="SNO3_D_Ext">'6 DeNi &amp; C-Quelle'!$F$5</definedName>
    <definedName name="SNO3_ZB" localSheetId="6">'[1]11 O2-Zufuhr'!$E$11</definedName>
    <definedName name="SNO3_ZB">'11 O2-Zufuhr'!$E$13</definedName>
    <definedName name="SorgN_AN" localSheetId="6">'[1]3 N-Bilanz'!$D$9</definedName>
    <definedName name="SorgN_AN">'3 N-Bilanz'!$D$9</definedName>
    <definedName name="t_R" localSheetId="6">'[1]0 Bemessung VKB'!$D$5</definedName>
    <definedName name="t_R">'0 Bemessung VKB'!$D$5</definedName>
    <definedName name="tE" localSheetId="6">'[1]9 ISV, tE, TSBB, RV'!$D$5</definedName>
    <definedName name="tE">'9 ISV, tE, TSBB, RV'!$D$5</definedName>
    <definedName name="TSBB" localSheetId="6">'[1]9 ISV, tE, TSBB, RV'!$D$12</definedName>
    <definedName name="TSBB">'9 ISV, tE, TSBB, RV'!$D$12</definedName>
    <definedName name="TSBS" localSheetId="6">'[1]9 ISV, tE, TSBB, RV'!$D$7</definedName>
    <definedName name="TSBS">'9 ISV, tE, TSBB, RV'!$D$7</definedName>
    <definedName name="TSRS" localSheetId="6">'[1]9 ISV, tE, TSBB, RV'!$D$9</definedName>
    <definedName name="TSRS">'9 ISV, tE, TSBB, RV'!$D$9</definedName>
    <definedName name="TSÜS" localSheetId="6">'[1]7 ÜSd, FT, tTS'!$D$11</definedName>
    <definedName name="TSÜS">'7 ÜSd, FT, tTS'!$D$11</definedName>
    <definedName name="tTS" localSheetId="6">'[1]5 tTS,aerob, Anteil VD'!$D$8</definedName>
    <definedName name="tTS">'5 tTS,aerob, Anteil VD'!$D$8</definedName>
    <definedName name="tTS_aerob_Bem" localSheetId="6">'[1]5 tTS,aerob, Anteil VD'!$D$6</definedName>
    <definedName name="tTS_aerob_Bem">'5 tTS,aerob, Anteil VD'!$D$6</definedName>
    <definedName name="tTS_Bem">'5 tTS,aerob, Anteil VD'!$D$7</definedName>
    <definedName name="ÜSC_BSB" localSheetId="6">'[1]7 ÜSd, FT, tTS'!$D$4</definedName>
    <definedName name="ÜSC_BSB">'7 ÜSd, FT, tTS'!$D$4</definedName>
    <definedName name="ÜSd" localSheetId="6">'[1]7 ÜSd, FT, tTS'!$D$3</definedName>
    <definedName name="ÜSd">'7 ÜSd, FT, tTS'!$D$3</definedName>
    <definedName name="ÜSd_C" localSheetId="6">'[1]7 ÜSd, FT, tTS'!$D$6</definedName>
    <definedName name="ÜSd_C">'7 ÜSd, FT, tTS'!$D$6</definedName>
    <definedName name="ÜSd_P" localSheetId="6">'[1]7 ÜSd, FT, tTS'!$D$8</definedName>
    <definedName name="ÜSd_P">'7 ÜSd, FT, tTS'!$D$8</definedName>
    <definedName name="VBB" localSheetId="6">'[1]8 MTS, VBB, VN, VD'!$D$5</definedName>
    <definedName name="VBB">'8 MTS, VBB, VN, VD'!$D$5</definedName>
    <definedName name="VD" localSheetId="6">'[1]8 MTS, VBB, VN, VD'!$D$12</definedName>
    <definedName name="VD">'8 MTS, VBB, VN, VD'!$D$12</definedName>
    <definedName name="VD_VBB_Quotient" localSheetId="6">'[1]5 tTS,aerob, Anteil VD'!$D$9</definedName>
    <definedName name="VD_VBB_Quotient">'5 tTS,aerob, Anteil VD'!$D$9</definedName>
    <definedName name="VN" localSheetId="6">'[1]8 MTS, VBB, VN, VD'!$D$11</definedName>
    <definedName name="VN">'8 MTS, VBB, VN, VD'!$D$11</definedName>
    <definedName name="VSV" localSheetId="6">'[1]13 qA, qSV, VSV, ANB'!$D$5</definedName>
    <definedName name="VSV">'13 qA, qSV, VSV, ANB'!$D$5</definedName>
    <definedName name="XanorgTS_ZB" localSheetId="6">'[1]2a CSB-Bilanz'!$E$11</definedName>
    <definedName name="XanorgTS_ZB">'2a CSB-Bilanz'!$E$11</definedName>
    <definedName name="XCSB_abb_ZB" localSheetId="6">'[1]2a CSB-Bilanz'!$E$9</definedName>
    <definedName name="XCSB_abb_ZB">'2a CSB-Bilanz'!$E$9</definedName>
    <definedName name="XCSB_BM" localSheetId="6">'[1]11 O2-Zufuhr'!$E$7</definedName>
    <definedName name="XCSB_BM">'11 O2-Zufuhr'!$E$9</definedName>
    <definedName name="XCSB_inert_BM" localSheetId="6">'[1]11 O2-Zufuhr'!$E$8</definedName>
    <definedName name="XCSB_inert_BM">'11 O2-Zufuhr'!$E$10</definedName>
    <definedName name="XCSB_inert_ZB" localSheetId="6">'[1]2a CSB-Bilanz'!$E$8</definedName>
    <definedName name="XCSB_inert_ZB">'2a CSB-Bilanz'!$E$8</definedName>
    <definedName name="XCSB_ÜS" localSheetId="6">'[1]11 O2-Zufuhr'!$E$6</definedName>
    <definedName name="XCSB_ÜS">'11 O2-Zufuhr'!$E$8</definedName>
    <definedName name="XCSB_ZB" localSheetId="6">'[1]2a CSB-Bilanz'!$E$13</definedName>
    <definedName name="XCSB_ZB">'2a CSB-Bilanz'!$E$13</definedName>
    <definedName name="XorgN_BM" localSheetId="6">'[1]3 N-Bilanz'!$D$13</definedName>
    <definedName name="XorgN_BM">'3 N-Bilanz'!$D$13</definedName>
    <definedName name="XorgTS_ZB" localSheetId="6">'[1]2a CSB-Bilanz'!$E$12</definedName>
    <definedName name="XorgTS_ZB">'2a CSB-Bilanz'!$E$12</definedName>
    <definedName name="XP_BioP" localSheetId="6">'[1]4 P-Bilanz'!$D$6</definedName>
    <definedName name="XP_BioP">'4 P-Bilanz'!$D$6</definedName>
    <definedName name="XP_BM" localSheetId="6">'[1]4 P-Bilanz'!$D$5</definedName>
    <definedName name="XP_BM">'4 P-Bilanz'!$D$5</definedName>
    <definedName name="XP_Fäll" localSheetId="6">'[1]4 P-Bilanz'!$D$3</definedName>
    <definedName name="XP_Fäll">'4 P-Bilanz'!$D$3</definedName>
    <definedName name="XTS_ZB" localSheetId="6">'[1]1 Zulaufwerte'!$E$28</definedName>
    <definedName name="XTS_ZB">'1 Zulaufwerte'!$E$28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26" l="1"/>
  <c r="E3" i="11"/>
  <c r="D6" i="25"/>
  <c r="D3" i="25"/>
  <c r="D8" i="21"/>
  <c r="E23" i="11"/>
  <c r="E16" i="11"/>
  <c r="E15" i="11"/>
  <c r="E11" i="11"/>
  <c r="D13" i="19"/>
  <c r="D4" i="19"/>
  <c r="E6" i="11"/>
  <c r="E7" i="11"/>
  <c r="D8" i="20"/>
  <c r="E9" i="11"/>
  <c r="E10" i="11" s="1"/>
  <c r="D3" i="29"/>
  <c r="D9" i="20"/>
  <c r="F12" i="64"/>
  <c r="F11" i="64"/>
  <c r="F10" i="64"/>
  <c r="F9" i="64"/>
  <c r="F8" i="64"/>
  <c r="F7" i="64"/>
  <c r="J6" i="64"/>
  <c r="D6" i="31" l="1"/>
  <c r="F4" i="2" l="1"/>
  <c r="F5" i="2" s="1"/>
  <c r="E5" i="2"/>
  <c r="C18" i="57" l="1"/>
  <c r="F18" i="57" s="1"/>
  <c r="C17" i="57"/>
  <c r="F17" i="57" s="1"/>
  <c r="B15" i="57"/>
  <c r="C15" i="57" s="1"/>
  <c r="F15" i="57" s="1"/>
  <c r="C14" i="57"/>
  <c r="C13" i="57"/>
  <c r="F13" i="57" s="1"/>
  <c r="C12" i="57"/>
  <c r="F12" i="57" s="1"/>
  <c r="H9" i="63"/>
  <c r="L5" i="63"/>
  <c r="B16" i="57" l="1"/>
  <c r="C16" i="57" s="1"/>
  <c r="F16" i="57" s="1"/>
  <c r="E24" i="2"/>
  <c r="E28" i="2" s="1"/>
  <c r="E23" i="2"/>
  <c r="E21" i="2"/>
  <c r="E20" i="2"/>
  <c r="E19" i="2"/>
  <c r="E11" i="17" l="1"/>
  <c r="K3" i="63"/>
  <c r="M31" i="62"/>
  <c r="M30" i="62"/>
  <c r="M29" i="62"/>
  <c r="M28" i="62"/>
  <c r="M27" i="62"/>
  <c r="H9" i="62"/>
  <c r="L5" i="62"/>
  <c r="K3" i="62"/>
  <c r="L8" i="62" s="1"/>
  <c r="E3" i="62"/>
  <c r="D12" i="62" s="1"/>
  <c r="D13" i="62" s="1"/>
  <c r="L9" i="62" l="1"/>
  <c r="J8" i="62"/>
  <c r="E21" i="62"/>
  <c r="J9" i="62" l="1"/>
  <c r="G8" i="62"/>
  <c r="H12" i="62" l="1"/>
  <c r="H13" i="62" s="1"/>
  <c r="F12" i="62"/>
  <c r="F13" i="62" s="1"/>
  <c r="C8" i="62"/>
  <c r="B12" i="62" s="1"/>
  <c r="B13" i="62" l="1"/>
  <c r="C26" i="62" s="1"/>
  <c r="B31" i="62" s="1"/>
  <c r="D31" i="62" s="1"/>
  <c r="D17" i="62"/>
  <c r="G26" i="62" l="1"/>
  <c r="C27" i="62"/>
  <c r="B32" i="62" l="1"/>
  <c r="D32" i="62"/>
  <c r="D33" i="62" s="1"/>
  <c r="G27" i="62"/>
  <c r="F31" i="62"/>
  <c r="H31" i="62" s="1"/>
  <c r="H32" i="62" l="1"/>
  <c r="H33" i="62" s="1"/>
  <c r="F32" i="62"/>
  <c r="F33" i="62" s="1"/>
  <c r="D37" i="62"/>
  <c r="B33" i="62"/>
  <c r="I4" i="61" l="1"/>
  <c r="D4" i="61" l="1"/>
  <c r="D5" i="61"/>
  <c r="F5" i="61" s="1"/>
  <c r="F4" i="61" l="1"/>
  <c r="F10" i="61" s="1"/>
  <c r="F6" i="61"/>
  <c r="D8" i="60"/>
  <c r="F6" i="60" l="1"/>
  <c r="E6" i="60"/>
  <c r="D6" i="60"/>
  <c r="E12" i="59" l="1"/>
  <c r="C11" i="59"/>
  <c r="E11" i="59" s="1"/>
  <c r="E6" i="58" l="1"/>
  <c r="E5" i="58"/>
  <c r="E4" i="58"/>
  <c r="C7" i="58" l="1"/>
  <c r="E7" i="58" s="1"/>
  <c r="D4" i="54"/>
  <c r="E4" i="54"/>
  <c r="F4" i="54"/>
  <c r="G3" i="18" l="1"/>
  <c r="C8" i="57" l="1"/>
  <c r="F8" i="57" s="1"/>
  <c r="C7" i="57"/>
  <c r="F7" i="57" s="1"/>
  <c r="B5" i="57"/>
  <c r="C5" i="57" s="1"/>
  <c r="F5" i="57" s="1"/>
  <c r="C4" i="57"/>
  <c r="C3" i="57"/>
  <c r="F3" i="57" s="1"/>
  <c r="C2" i="57"/>
  <c r="F2" i="57" s="1"/>
  <c r="E6" i="2"/>
  <c r="B6" i="57" l="1"/>
  <c r="C6" i="57" s="1"/>
  <c r="F6" i="57" s="1"/>
  <c r="L8" i="63"/>
  <c r="L9" i="63" l="1"/>
  <c r="J8" i="63"/>
  <c r="G8" i="63" l="1"/>
  <c r="J9" i="63"/>
  <c r="D11" i="3"/>
  <c r="D6" i="21"/>
  <c r="D4" i="21"/>
  <c r="D12" i="21"/>
  <c r="D12" i="3"/>
  <c r="D4" i="29"/>
  <c r="H12" i="63" l="1"/>
  <c r="F12" i="63" s="1"/>
  <c r="H7" i="2"/>
  <c r="H12" i="2"/>
  <c r="H8" i="2"/>
  <c r="H9" i="2"/>
  <c r="H4" i="2"/>
  <c r="H6" i="21" l="1"/>
  <c r="D9" i="3" l="1"/>
  <c r="C4" i="54" l="1"/>
  <c r="D12" i="19" l="1"/>
  <c r="H11" i="2" l="1"/>
  <c r="D14" i="21" l="1"/>
  <c r="D6" i="30" l="1"/>
  <c r="D13" i="21" l="1"/>
  <c r="D7" i="30"/>
  <c r="D6" i="26"/>
  <c r="D11" i="26" l="1"/>
  <c r="D6" i="12"/>
  <c r="F12" i="45" l="1"/>
  <c r="F11" i="45" s="1"/>
  <c r="F4" i="45" s="1"/>
  <c r="F3" i="45"/>
  <c r="F7" i="2" l="1"/>
  <c r="E13" i="11"/>
  <c r="D7" i="12" l="1"/>
  <c r="D8" i="12"/>
  <c r="F8" i="2" l="1"/>
  <c r="D4" i="20" l="1"/>
  <c r="E27" i="2" l="1"/>
  <c r="E22" i="2"/>
  <c r="D6" i="19"/>
  <c r="D6" i="3" l="1"/>
  <c r="D5" i="12"/>
  <c r="D5" i="19"/>
  <c r="D5" i="30" l="1"/>
  <c r="D3" i="30" s="1"/>
  <c r="E4" i="17"/>
  <c r="E12" i="17"/>
  <c r="D5" i="25"/>
  <c r="E13" i="17" l="1"/>
  <c r="E8" i="17" s="1"/>
  <c r="D7" i="26" l="1"/>
  <c r="D9" i="26" s="1"/>
  <c r="D5" i="26"/>
  <c r="D3" i="26" l="1"/>
  <c r="F12" i="18"/>
  <c r="F3" i="18" s="1"/>
  <c r="F11" i="18" l="1"/>
  <c r="F4" i="18" s="1"/>
  <c r="F9" i="2" l="1"/>
  <c r="F10" i="2"/>
  <c r="F11" i="2"/>
  <c r="F12" i="2"/>
  <c r="F21" i="2" l="1"/>
  <c r="F22" i="2"/>
  <c r="E26" i="2"/>
  <c r="E25" i="2" l="1"/>
  <c r="F23" i="2"/>
  <c r="F24" i="2"/>
  <c r="F20" i="2"/>
  <c r="E7" i="17" l="1"/>
  <c r="E10" i="17" s="1"/>
  <c r="E3" i="63"/>
  <c r="F19" i="2"/>
  <c r="E21" i="63" l="1"/>
  <c r="D12" i="63"/>
  <c r="D13" i="63" s="1"/>
  <c r="C8" i="63"/>
  <c r="F13" i="63"/>
  <c r="H13" i="63"/>
  <c r="E3" i="17"/>
  <c r="B12" i="63" l="1"/>
  <c r="B13" i="63" l="1"/>
  <c r="C26" i="63" s="1"/>
  <c r="D17" i="63"/>
  <c r="G26" i="63" l="1"/>
  <c r="B31" i="63"/>
  <c r="D31" i="63" s="1"/>
  <c r="C27" i="63"/>
  <c r="B32" i="63" l="1"/>
  <c r="D32" i="63"/>
  <c r="D33" i="63" s="1"/>
  <c r="F31" i="63"/>
  <c r="H31" i="63" s="1"/>
  <c r="G27" i="63"/>
  <c r="E5" i="17"/>
  <c r="E9" i="17"/>
  <c r="E6" i="17" s="1"/>
  <c r="H26" i="2" s="1"/>
  <c r="D3" i="19" l="1"/>
  <c r="D6" i="29"/>
  <c r="D7" i="3"/>
  <c r="D5" i="29"/>
  <c r="D5" i="3"/>
  <c r="F32" i="63"/>
  <c r="F33" i="63" s="1"/>
  <c r="H32" i="63"/>
  <c r="H33" i="63" s="1"/>
  <c r="B33" i="63"/>
  <c r="E8" i="11"/>
  <c r="E5" i="11" l="1"/>
  <c r="D37" i="63"/>
  <c r="D8" i="3"/>
  <c r="D3" i="3" s="1"/>
  <c r="D7" i="29"/>
  <c r="D9" i="12"/>
  <c r="D3" i="12" s="1"/>
  <c r="D5" i="31"/>
  <c r="D7" i="31" s="1"/>
  <c r="D8" i="31" s="1"/>
  <c r="D9" i="31" s="1"/>
  <c r="D4" i="31"/>
  <c r="E12" i="11"/>
  <c r="E4" i="11"/>
  <c r="E14" i="17"/>
  <c r="E15" i="17" s="1"/>
  <c r="D3" i="18" l="1"/>
  <c r="D6" i="18"/>
  <c r="D10" i="3"/>
  <c r="E17" i="11"/>
  <c r="E20" i="11"/>
  <c r="D5" i="18" l="1"/>
  <c r="D4" i="18"/>
  <c r="D13" i="3"/>
  <c r="F7" i="61"/>
  <c r="F8" i="61" s="1"/>
  <c r="F11" i="61" s="1"/>
  <c r="D12" i="18" l="1"/>
  <c r="D8" i="18"/>
  <c r="D9" i="18" s="1"/>
  <c r="D11" i="18"/>
  <c r="D7" i="18" s="1"/>
  <c r="D10" i="18"/>
  <c r="F9" i="61"/>
  <c r="F14" i="61" s="1"/>
  <c r="F13" i="61"/>
  <c r="F12" i="61"/>
  <c r="D6" i="13"/>
  <c r="F6" i="2"/>
  <c r="D18" i="13" s="1"/>
  <c r="D8" i="30"/>
  <c r="D8" i="13"/>
  <c r="D17" i="13"/>
  <c r="D10" i="13" l="1"/>
  <c r="D13" i="13" s="1"/>
  <c r="D14" i="13" s="1"/>
  <c r="D19" i="13" s="1"/>
  <c r="D20"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Olaf</author>
  </authors>
  <commentList>
    <comment ref="E7" authorId="0" shapeId="0" xr:uid="{00000000-0006-0000-0800-000001000000}">
      <text>
        <r>
          <rPr>
            <b/>
            <sz val="9"/>
            <color indexed="81"/>
            <rFont val="Tahoma"/>
            <family val="2"/>
          </rPr>
          <t>Olaf:</t>
        </r>
        <r>
          <rPr>
            <sz val="9"/>
            <color indexed="81"/>
            <rFont val="Tahoma"/>
            <family val="2"/>
          </rPr>
          <t xml:space="preserve">
Entspricht fast 100%ig dem von den BWB übermittelten Ablaufwert</t>
        </r>
      </text>
    </comment>
  </commentList>
</comments>
</file>

<file path=xl/sharedStrings.xml><?xml version="1.0" encoding="utf-8"?>
<sst xmlns="http://schemas.openxmlformats.org/spreadsheetml/2006/main" count="1177" uniqueCount="598">
  <si>
    <t>Masse an zu denitrifizierendem Nitrat</t>
  </si>
  <si>
    <t>SF</t>
  </si>
  <si>
    <r>
      <t>t</t>
    </r>
    <r>
      <rPr>
        <b/>
        <vertAlign val="subscript"/>
        <sz val="10"/>
        <color indexed="8"/>
        <rFont val="Arial"/>
        <family val="2"/>
      </rPr>
      <t>TS,aerob,Bem</t>
    </r>
  </si>
  <si>
    <t>Schlammindex</t>
  </si>
  <si>
    <t>Trockensubstanzgehalt im Rücklaufschlamm</t>
  </si>
  <si>
    <r>
      <t>TS</t>
    </r>
    <r>
      <rPr>
        <b/>
        <vertAlign val="subscript"/>
        <sz val="10"/>
        <color indexed="8"/>
        <rFont val="Arial"/>
        <family val="2"/>
      </rPr>
      <t>RS</t>
    </r>
  </si>
  <si>
    <t>Rücklaufverhältnis</t>
  </si>
  <si>
    <t>RV</t>
  </si>
  <si>
    <t>Trockensubstanzgehalt des belebten Schlammes</t>
  </si>
  <si>
    <r>
      <t>TS</t>
    </r>
    <r>
      <rPr>
        <b/>
        <vertAlign val="subscript"/>
        <sz val="10"/>
        <color indexed="8"/>
        <rFont val="Arial"/>
        <family val="2"/>
      </rPr>
      <t>BB</t>
    </r>
  </si>
  <si>
    <t>Nachklärbeckentiefe</t>
  </si>
  <si>
    <r>
      <t>ÜS</t>
    </r>
    <r>
      <rPr>
        <b/>
        <vertAlign val="subscript"/>
        <sz val="10"/>
        <color indexed="8"/>
        <rFont val="Arial"/>
        <family val="2"/>
      </rPr>
      <t>d</t>
    </r>
  </si>
  <si>
    <r>
      <t>M</t>
    </r>
    <r>
      <rPr>
        <b/>
        <vertAlign val="subscript"/>
        <sz val="10"/>
        <color indexed="8"/>
        <rFont val="Arial"/>
        <family val="2"/>
      </rPr>
      <t>TS,BB</t>
    </r>
  </si>
  <si>
    <r>
      <t>V</t>
    </r>
    <r>
      <rPr>
        <b/>
        <vertAlign val="subscript"/>
        <sz val="10"/>
        <color indexed="8"/>
        <rFont val="Arial"/>
        <family val="2"/>
      </rPr>
      <t>BB</t>
    </r>
  </si>
  <si>
    <t>Sicherheitsfaktor</t>
  </si>
  <si>
    <r>
      <t>S</t>
    </r>
    <r>
      <rPr>
        <b/>
        <vertAlign val="subscript"/>
        <sz val="10"/>
        <color indexed="8"/>
        <rFont val="Arial"/>
        <family val="2"/>
      </rPr>
      <t>NO3,D</t>
    </r>
  </si>
  <si>
    <t>Temperaturfaktor für die endogene Veratmung</t>
  </si>
  <si>
    <r>
      <t>F</t>
    </r>
    <r>
      <rPr>
        <b/>
        <vertAlign val="subscript"/>
        <sz val="10"/>
        <color indexed="8"/>
        <rFont val="Arial"/>
        <family val="2"/>
      </rPr>
      <t>T</t>
    </r>
  </si>
  <si>
    <r>
      <t>X</t>
    </r>
    <r>
      <rPr>
        <b/>
        <vertAlign val="subscript"/>
        <sz val="10"/>
        <color indexed="8"/>
        <rFont val="Arial"/>
        <family val="2"/>
      </rPr>
      <t>TS,ZB</t>
    </r>
  </si>
  <si>
    <t>ISV</t>
  </si>
  <si>
    <t>erforderliche Masse der Feststoffe im Belebungsbecken</t>
  </si>
  <si>
    <t>Volumen des Belebungsbeckens</t>
  </si>
  <si>
    <t>Verbrauch für Kohlenstoffelimination</t>
  </si>
  <si>
    <t>Einsparung an Sauerstoff aus der Denitrifikation</t>
  </si>
  <si>
    <r>
      <t>OV</t>
    </r>
    <r>
      <rPr>
        <b/>
        <vertAlign val="subscript"/>
        <sz val="10"/>
        <color indexed="8"/>
        <rFont val="Arial"/>
        <family val="2"/>
      </rPr>
      <t>d,C</t>
    </r>
  </si>
  <si>
    <r>
      <t>OV</t>
    </r>
    <r>
      <rPr>
        <b/>
        <vertAlign val="subscript"/>
        <sz val="10"/>
        <color indexed="8"/>
        <rFont val="Arial"/>
        <family val="2"/>
      </rPr>
      <t>d,N</t>
    </r>
  </si>
  <si>
    <r>
      <t>OV</t>
    </r>
    <r>
      <rPr>
        <b/>
        <vertAlign val="subscript"/>
        <sz val="10"/>
        <color indexed="8"/>
        <rFont val="Arial"/>
        <family val="2"/>
      </rPr>
      <t>d,D</t>
    </r>
  </si>
  <si>
    <r>
      <t>S</t>
    </r>
    <r>
      <rPr>
        <b/>
        <vertAlign val="subscript"/>
        <sz val="10"/>
        <color indexed="8"/>
        <rFont val="Arial"/>
        <family val="2"/>
      </rPr>
      <t>NO3,ZB</t>
    </r>
  </si>
  <si>
    <r>
      <t>S</t>
    </r>
    <r>
      <rPr>
        <b/>
        <vertAlign val="subscript"/>
        <sz val="10"/>
        <color indexed="8"/>
        <rFont val="Arial"/>
        <family val="2"/>
      </rPr>
      <t>NO3,AN</t>
    </r>
  </si>
  <si>
    <r>
      <t>OV</t>
    </r>
    <r>
      <rPr>
        <b/>
        <vertAlign val="subscript"/>
        <sz val="10"/>
        <color indexed="8"/>
        <rFont val="Arial"/>
        <family val="2"/>
      </rPr>
      <t>h</t>
    </r>
  </si>
  <si>
    <r>
      <t>f</t>
    </r>
    <r>
      <rPr>
        <b/>
        <vertAlign val="subscript"/>
        <sz val="10"/>
        <color indexed="8"/>
        <rFont val="Arial"/>
        <family val="2"/>
      </rPr>
      <t>C</t>
    </r>
  </si>
  <si>
    <r>
      <t>f</t>
    </r>
    <r>
      <rPr>
        <b/>
        <vertAlign val="subscript"/>
        <sz val="10"/>
        <color indexed="8"/>
        <rFont val="Arial"/>
        <family val="2"/>
      </rPr>
      <t>N</t>
    </r>
  </si>
  <si>
    <t>Stossfaktor des Sauerstoffverbrauches für Kohlenstoffelimination</t>
  </si>
  <si>
    <t>Stossfaktor des Sauerstoffverbrauches für Nitrifikation</t>
  </si>
  <si>
    <t>erforderliche Sauerstoffzufuhr</t>
  </si>
  <si>
    <r>
      <t>erf.</t>
    </r>
    <r>
      <rPr>
        <b/>
        <sz val="10"/>
        <color indexed="8"/>
        <rFont val="Symbol"/>
        <family val="1"/>
        <charset val="2"/>
      </rPr>
      <t>a</t>
    </r>
    <r>
      <rPr>
        <b/>
        <sz val="10"/>
        <color indexed="8"/>
        <rFont val="Arial"/>
        <family val="2"/>
      </rPr>
      <t>OC</t>
    </r>
  </si>
  <si>
    <r>
      <t>C</t>
    </r>
    <r>
      <rPr>
        <b/>
        <vertAlign val="subscript"/>
        <sz val="10"/>
        <color indexed="8"/>
        <rFont val="Arial"/>
        <family val="2"/>
      </rPr>
      <t>S</t>
    </r>
  </si>
  <si>
    <r>
      <t>C</t>
    </r>
    <r>
      <rPr>
        <b/>
        <vertAlign val="subscript"/>
        <sz val="10"/>
        <color indexed="8"/>
        <rFont val="Arial"/>
        <family val="2"/>
      </rPr>
      <t>x</t>
    </r>
  </si>
  <si>
    <r>
      <t>S</t>
    </r>
    <r>
      <rPr>
        <b/>
        <vertAlign val="subscript"/>
        <sz val="10"/>
        <color indexed="8"/>
        <rFont val="Arial"/>
        <family val="2"/>
      </rPr>
      <t>KS,AB</t>
    </r>
  </si>
  <si>
    <r>
      <t>S</t>
    </r>
    <r>
      <rPr>
        <b/>
        <vertAlign val="subscript"/>
        <sz val="10"/>
        <color indexed="8"/>
        <rFont val="Arial"/>
        <family val="2"/>
      </rPr>
      <t>KS,ZB</t>
    </r>
  </si>
  <si>
    <r>
      <t>S</t>
    </r>
    <r>
      <rPr>
        <b/>
        <vertAlign val="subscript"/>
        <sz val="10"/>
        <color indexed="8"/>
        <rFont val="Arial"/>
        <family val="2"/>
      </rPr>
      <t>NH4,ZB</t>
    </r>
  </si>
  <si>
    <r>
      <t>Ermittlung des Trockensubstanzgehaltes im Bodenschlamm als Funktion von ISV und t</t>
    </r>
    <r>
      <rPr>
        <b/>
        <vertAlign val="subscript"/>
        <sz val="10"/>
        <color indexed="8"/>
        <rFont val="Arial"/>
        <family val="2"/>
      </rPr>
      <t>E</t>
    </r>
  </si>
  <si>
    <r>
      <t>TS</t>
    </r>
    <r>
      <rPr>
        <b/>
        <vertAlign val="subscript"/>
        <sz val="10"/>
        <color indexed="8"/>
        <rFont val="Arial"/>
        <family val="2"/>
      </rPr>
      <t>BS</t>
    </r>
  </si>
  <si>
    <t>.</t>
  </si>
  <si>
    <r>
      <t>q</t>
    </r>
    <r>
      <rPr>
        <b/>
        <vertAlign val="subscript"/>
        <sz val="10"/>
        <color indexed="8"/>
        <rFont val="Arial"/>
        <family val="2"/>
      </rPr>
      <t>A</t>
    </r>
  </si>
  <si>
    <t xml:space="preserve">Vergleichsschlammvolumen </t>
  </si>
  <si>
    <t>VSV</t>
  </si>
  <si>
    <r>
      <t>S</t>
    </r>
    <r>
      <rPr>
        <b/>
        <vertAlign val="subscript"/>
        <sz val="10"/>
        <color indexed="8"/>
        <rFont val="Arial"/>
        <family val="2"/>
      </rPr>
      <t>CSB,ZB</t>
    </r>
  </si>
  <si>
    <r>
      <t>C</t>
    </r>
    <r>
      <rPr>
        <b/>
        <vertAlign val="subscript"/>
        <sz val="10"/>
        <color indexed="8"/>
        <rFont val="Arial"/>
        <family val="2"/>
      </rPr>
      <t>CSB,ZB</t>
    </r>
  </si>
  <si>
    <r>
      <t>X</t>
    </r>
    <r>
      <rPr>
        <b/>
        <vertAlign val="subscript"/>
        <sz val="10"/>
        <color indexed="8"/>
        <rFont val="Arial"/>
        <family val="2"/>
      </rPr>
      <t>CSB,ZB</t>
    </r>
  </si>
  <si>
    <r>
      <t>X</t>
    </r>
    <r>
      <rPr>
        <b/>
        <vertAlign val="subscript"/>
        <sz val="10"/>
        <color indexed="8"/>
        <rFont val="Arial"/>
        <family val="2"/>
      </rPr>
      <t>CSB,inert,ZB</t>
    </r>
  </si>
  <si>
    <r>
      <t>C</t>
    </r>
    <r>
      <rPr>
        <b/>
        <vertAlign val="subscript"/>
        <sz val="10"/>
        <color indexed="8"/>
        <rFont val="Arial"/>
        <family val="2"/>
      </rPr>
      <t>CSB,abb,ZB</t>
    </r>
  </si>
  <si>
    <r>
      <t>X</t>
    </r>
    <r>
      <rPr>
        <b/>
        <vertAlign val="subscript"/>
        <sz val="10"/>
        <color indexed="8"/>
        <rFont val="Arial"/>
        <family val="2"/>
      </rPr>
      <t>anorgTS,ZB</t>
    </r>
  </si>
  <si>
    <r>
      <t>"Als Ergebnis der biologischen Behandlung ergibt sich der CSB im Ablauf aus der Nachklärung (der sich aus dem gelösten inerten CSB, dem nicht abgebauten gelösten CSB und dem CSB der abfiltrierbaren Stoffe zusammensetzt) und der als CSB gemessene Überschussschlamm (X</t>
    </r>
    <r>
      <rPr>
        <vertAlign val="subscript"/>
        <sz val="10"/>
        <color indexed="8"/>
        <rFont val="Arial"/>
        <family val="2"/>
      </rPr>
      <t>CSB,ÜS</t>
    </r>
    <r>
      <rPr>
        <sz val="10"/>
        <color theme="1"/>
        <rFont val="Arial"/>
        <family val="2"/>
      </rPr>
      <t>). Die Differenz stellt den für die Atmungsvorgänge verbrauchten Sauerstoff (OV) dar. Vernachlässigt man den nicht abgebauten, gelösten abbaubaren CSB im Ablauf und betrachtet die Schwebestoffe im Ablauf als fehlgeleiteten Überschussschlamm, lässt sich der Erhaltungssatz aufstellen."</t>
    </r>
  </si>
  <si>
    <r>
      <t>X</t>
    </r>
    <r>
      <rPr>
        <b/>
        <vertAlign val="subscript"/>
        <sz val="10"/>
        <color indexed="8"/>
        <rFont val="Arial"/>
        <family val="2"/>
      </rPr>
      <t>CSB,ÜS</t>
    </r>
  </si>
  <si>
    <r>
      <t>X</t>
    </r>
    <r>
      <rPr>
        <b/>
        <vertAlign val="subscript"/>
        <sz val="10"/>
        <color indexed="8"/>
        <rFont val="Arial"/>
        <family val="2"/>
      </rPr>
      <t>CSB,inert,BM</t>
    </r>
  </si>
  <si>
    <t>Sauerstoffsättigungskonzentration</t>
  </si>
  <si>
    <t>Sauerstoffkonzentration im BB</t>
  </si>
  <si>
    <t>Konzentration an organischem Stickstoff im Ablauf</t>
  </si>
  <si>
    <t>Ammoniumgehalt im Ablauf</t>
  </si>
  <si>
    <t>in die Biomasse eingebaute Stickstofffracht</t>
  </si>
  <si>
    <r>
      <t>S</t>
    </r>
    <r>
      <rPr>
        <vertAlign val="subscript"/>
        <sz val="14"/>
        <color indexed="8"/>
        <rFont val="Arial"/>
        <family val="2"/>
      </rPr>
      <t>NO3,D</t>
    </r>
    <r>
      <rPr>
        <sz val="14"/>
        <color indexed="8"/>
        <rFont val="Arial"/>
        <family val="2"/>
      </rPr>
      <t xml:space="preserve"> = C</t>
    </r>
    <r>
      <rPr>
        <vertAlign val="subscript"/>
        <sz val="14"/>
        <color indexed="8"/>
        <rFont val="Arial"/>
        <family val="2"/>
      </rPr>
      <t>N,ZB</t>
    </r>
    <r>
      <rPr>
        <sz val="14"/>
        <color indexed="8"/>
        <rFont val="Arial"/>
        <family val="2"/>
      </rPr>
      <t xml:space="preserve"> – S</t>
    </r>
    <r>
      <rPr>
        <vertAlign val="subscript"/>
        <sz val="14"/>
        <color indexed="8"/>
        <rFont val="Arial"/>
        <family val="2"/>
      </rPr>
      <t>orgN,AN</t>
    </r>
    <r>
      <rPr>
        <sz val="14"/>
        <color indexed="8"/>
        <rFont val="Arial"/>
        <family val="2"/>
      </rPr>
      <t xml:space="preserve"> – S</t>
    </r>
    <r>
      <rPr>
        <vertAlign val="subscript"/>
        <sz val="14"/>
        <color indexed="8"/>
        <rFont val="Arial"/>
        <family val="2"/>
      </rPr>
      <t>NH4,AN</t>
    </r>
    <r>
      <rPr>
        <sz val="14"/>
        <color indexed="8"/>
        <rFont val="Arial"/>
        <family val="2"/>
      </rPr>
      <t xml:space="preserve"> – S</t>
    </r>
    <r>
      <rPr>
        <vertAlign val="subscript"/>
        <sz val="14"/>
        <color indexed="8"/>
        <rFont val="Arial"/>
        <family val="2"/>
      </rPr>
      <t>NO3,AN</t>
    </r>
    <r>
      <rPr>
        <sz val="14"/>
        <color indexed="8"/>
        <rFont val="Arial"/>
        <family val="2"/>
      </rPr>
      <t xml:space="preserve"> – X</t>
    </r>
    <r>
      <rPr>
        <vertAlign val="subscript"/>
        <sz val="14"/>
        <color indexed="8"/>
        <rFont val="Arial"/>
        <family val="2"/>
      </rPr>
      <t>orgN,BM</t>
    </r>
  </si>
  <si>
    <t>Nitrat im Ablauf</t>
  </si>
  <si>
    <r>
      <t xml:space="preserve">abfiltrierbare Stoffe des Zulaufs (0,45 μm Membranfilter)
</t>
    </r>
    <r>
      <rPr>
        <sz val="10"/>
        <color theme="1"/>
        <rFont val="Arial"/>
        <family val="2"/>
      </rPr>
      <t>(= Suspended solids)</t>
    </r>
  </si>
  <si>
    <r>
      <t xml:space="preserve">Glührückstand der abfiltrierbaren Stoffe
</t>
    </r>
    <r>
      <rPr>
        <sz val="10"/>
        <color theme="1"/>
        <rFont val="Arial"/>
        <family val="2"/>
      </rPr>
      <t>(= nonvolatile solids)</t>
    </r>
  </si>
  <si>
    <r>
      <t>"Die abfiltrierbaren Stoffe des Zulaufs (X</t>
    </r>
    <r>
      <rPr>
        <vertAlign val="subscript"/>
        <sz val="10"/>
        <color indexed="8"/>
        <rFont val="Arial"/>
        <family val="2"/>
      </rPr>
      <t>TS,ZB</t>
    </r>
    <r>
      <rPr>
        <sz val="10"/>
        <color theme="1"/>
        <rFont val="Arial"/>
        <family val="2"/>
      </rPr>
      <t>) bestehen aus der organischen und der anorganischen Fraktion, letztere geht nicht in C</t>
    </r>
    <r>
      <rPr>
        <vertAlign val="subscript"/>
        <sz val="10"/>
        <color indexed="8"/>
        <rFont val="Arial"/>
        <family val="2"/>
      </rPr>
      <t>CSB,ZB</t>
    </r>
    <r>
      <rPr>
        <sz val="10"/>
        <color theme="1"/>
        <rFont val="Arial"/>
        <family val="2"/>
      </rPr>
      <t xml:space="preserve"> ein."</t>
    </r>
  </si>
  <si>
    <t>Kontrollrechnung
"Nach vielen Messungen hat die organische Trockensubstanz im Zulauf 1,45 g CSB/g org.TS."</t>
  </si>
  <si>
    <r>
      <t>S</t>
    </r>
    <r>
      <rPr>
        <b/>
        <vertAlign val="subscript"/>
        <sz val="10"/>
        <color indexed="8"/>
        <rFont val="Arial"/>
        <family val="2"/>
      </rPr>
      <t>CSB,abb,ZB</t>
    </r>
  </si>
  <si>
    <r>
      <t xml:space="preserve">CSB gelöste Fraktion, abbaubar
</t>
    </r>
    <r>
      <rPr>
        <sz val="10"/>
        <color theme="1"/>
        <rFont val="Arial"/>
        <family val="2"/>
      </rPr>
      <t>(= soluble biodegradable COD)</t>
    </r>
  </si>
  <si>
    <r>
      <t xml:space="preserve">CSB partikuläre Fraktion, abbaubar
</t>
    </r>
    <r>
      <rPr>
        <sz val="10"/>
        <color theme="1"/>
        <rFont val="Arial"/>
        <family val="2"/>
      </rPr>
      <t>(= particulate biodegradable COD)</t>
    </r>
  </si>
  <si>
    <r>
      <t xml:space="preserve">CSB partikuläre Fraktion, inert
</t>
    </r>
    <r>
      <rPr>
        <sz val="10"/>
        <color theme="1"/>
        <rFont val="Arial"/>
        <family val="2"/>
      </rPr>
      <t>(= particulate non-degradable COD)</t>
    </r>
  </si>
  <si>
    <r>
      <t>X</t>
    </r>
    <r>
      <rPr>
        <b/>
        <vertAlign val="subscript"/>
        <sz val="10"/>
        <color indexed="8"/>
        <rFont val="Arial"/>
        <family val="2"/>
      </rPr>
      <t>CSB,abb,ZB</t>
    </r>
  </si>
  <si>
    <r>
      <t>X</t>
    </r>
    <r>
      <rPr>
        <b/>
        <vertAlign val="subscript"/>
        <sz val="10"/>
        <color indexed="8"/>
        <rFont val="Arial"/>
        <family val="2"/>
      </rPr>
      <t>orgTS,ZB</t>
    </r>
  </si>
  <si>
    <r>
      <t>Ermittlung des Trockensubstanzgehaltes im Bodenschlamm aus TS</t>
    </r>
    <r>
      <rPr>
        <b/>
        <vertAlign val="subscript"/>
        <sz val="10"/>
        <color indexed="8"/>
        <rFont val="Arial"/>
        <family val="2"/>
      </rPr>
      <t>RS</t>
    </r>
  </si>
  <si>
    <r>
      <t>X</t>
    </r>
    <r>
      <rPr>
        <b/>
        <vertAlign val="subscript"/>
        <sz val="10"/>
        <color indexed="8"/>
        <rFont val="Arial"/>
        <family val="2"/>
      </rPr>
      <t>TS,ZB</t>
    </r>
    <r>
      <rPr>
        <b/>
        <sz val="10"/>
        <color indexed="8"/>
        <rFont val="Arial"/>
        <family val="2"/>
      </rPr>
      <t xml:space="preserve"> / C</t>
    </r>
    <r>
      <rPr>
        <b/>
        <vertAlign val="subscript"/>
        <sz val="10"/>
        <color indexed="8"/>
        <rFont val="Arial"/>
        <family val="2"/>
      </rPr>
      <t>BSB,ZB</t>
    </r>
  </si>
  <si>
    <t>Quotient für Tabelle 5</t>
  </si>
  <si>
    <r>
      <t>ÜS</t>
    </r>
    <r>
      <rPr>
        <b/>
        <vertAlign val="subscript"/>
        <sz val="10"/>
        <color indexed="8"/>
        <rFont val="Arial"/>
        <family val="2"/>
      </rPr>
      <t>C,BSB</t>
    </r>
  </si>
  <si>
    <t>Spezifische Schlammproduktion bei 10…12°C 
(Ermittlung aus Tabelle 5)</t>
  </si>
  <si>
    <t>Bemessung nach BSB</t>
  </si>
  <si>
    <t>Bemessung nach CSB</t>
  </si>
  <si>
    <r>
      <t>S</t>
    </r>
    <r>
      <rPr>
        <b/>
        <vertAlign val="subscript"/>
        <sz val="10"/>
        <color indexed="8"/>
        <rFont val="Arial"/>
        <family val="2"/>
      </rPr>
      <t>CSB,inert,AN</t>
    </r>
  </si>
  <si>
    <t>Nitrat im Zulauf zur Belebung</t>
  </si>
  <si>
    <r>
      <t>Sauerstoffverbrauch für die Tagesspitze
berechnet für max. f</t>
    </r>
    <r>
      <rPr>
        <b/>
        <vertAlign val="subscript"/>
        <sz val="10"/>
        <color indexed="8"/>
        <rFont val="Arial"/>
        <family val="2"/>
      </rPr>
      <t>C</t>
    </r>
  </si>
  <si>
    <t>Volumen des Belebungsbeckens für Denitrifikation</t>
  </si>
  <si>
    <r>
      <t>V</t>
    </r>
    <r>
      <rPr>
        <b/>
        <vertAlign val="subscript"/>
        <sz val="10"/>
        <color indexed="8"/>
        <rFont val="Arial"/>
        <family val="2"/>
      </rPr>
      <t>D</t>
    </r>
  </si>
  <si>
    <t>Volumen des Belebungsbeckens für Nitrifikation</t>
  </si>
  <si>
    <r>
      <t>V</t>
    </r>
    <r>
      <rPr>
        <b/>
        <vertAlign val="subscript"/>
        <sz val="10"/>
        <color indexed="8"/>
        <rFont val="Arial"/>
        <family val="2"/>
      </rPr>
      <t>N</t>
    </r>
  </si>
  <si>
    <t xml:space="preserve">Mit dieser Formel läßt sich das minimal erforderliche Volumen des Belebungsbeckens errechnen. </t>
  </si>
  <si>
    <r>
      <t xml:space="preserve">Die Bemessungsregeln des A 131 gelten für
– Nachklärbecken mit Längen bzw. Durchmessern bis etwa 60 m,
– Schlammindex 50 l/kg &lt; ISV &lt; 200 l/kg,
– Vergleichsschlammvolumen VSV &lt; 600 l/m³,
– Rücklaufschlammstrom 
</t>
    </r>
    <r>
      <rPr>
        <sz val="10"/>
        <color indexed="10"/>
        <rFont val="Arial"/>
        <family val="2"/>
      </rPr>
      <t>Q</t>
    </r>
    <r>
      <rPr>
        <vertAlign val="subscript"/>
        <sz val="10"/>
        <color indexed="10"/>
        <rFont val="Arial"/>
        <family val="2"/>
      </rPr>
      <t>RS</t>
    </r>
    <r>
      <rPr>
        <sz val="10"/>
        <color indexed="10"/>
        <rFont val="Arial"/>
        <family val="2"/>
      </rPr>
      <t xml:space="preserve"> </t>
    </r>
    <r>
      <rPr>
        <sz val="10"/>
        <color indexed="10"/>
        <rFont val="Symbol"/>
        <family val="1"/>
        <charset val="2"/>
      </rPr>
      <t>£</t>
    </r>
    <r>
      <rPr>
        <sz val="10"/>
        <color indexed="10"/>
        <rFont val="Arial"/>
        <family val="2"/>
      </rPr>
      <t xml:space="preserve"> 0,75 · Qm (horizontal durchströmt)</t>
    </r>
    <r>
      <rPr>
        <sz val="10"/>
        <color theme="1"/>
        <rFont val="Arial"/>
        <family val="2"/>
      </rPr>
      <t>, bzw.
Q</t>
    </r>
    <r>
      <rPr>
        <vertAlign val="subscript"/>
        <sz val="10"/>
        <color indexed="8"/>
        <rFont val="Arial"/>
        <family val="2"/>
      </rPr>
      <t>RS</t>
    </r>
    <r>
      <rPr>
        <sz val="10"/>
        <color theme="1"/>
        <rFont val="Arial"/>
        <family val="2"/>
      </rPr>
      <t xml:space="preserve"> </t>
    </r>
    <r>
      <rPr>
        <sz val="10"/>
        <color indexed="8"/>
        <rFont val="Symbol"/>
        <family val="1"/>
        <charset val="2"/>
      </rPr>
      <t>£</t>
    </r>
    <r>
      <rPr>
        <sz val="10"/>
        <color theme="1"/>
        <rFont val="Arial"/>
        <family val="2"/>
      </rPr>
      <t xml:space="preserve"> 1,0 · Qm (vertikal durchströmt),
– Trockensubstanzgehalt im Zulauf Nachklärbecken TS</t>
    </r>
    <r>
      <rPr>
        <vertAlign val="subscript"/>
        <sz val="10"/>
        <color indexed="8"/>
        <rFont val="Arial"/>
        <family val="2"/>
      </rPr>
      <t>BB</t>
    </r>
    <r>
      <rPr>
        <sz val="10"/>
        <color theme="1"/>
        <rFont val="Arial"/>
        <family val="2"/>
      </rPr>
      <t xml:space="preserve"> bzw. TS</t>
    </r>
    <r>
      <rPr>
        <vertAlign val="subscript"/>
        <sz val="10"/>
        <color indexed="8"/>
        <rFont val="Arial"/>
        <family val="2"/>
      </rPr>
      <t>AB</t>
    </r>
    <r>
      <rPr>
        <sz val="10"/>
        <color theme="1"/>
        <rFont val="Arial"/>
        <family val="2"/>
      </rPr>
      <t xml:space="preserve"> &gt; 1,0 kg/m³.</t>
    </r>
  </si>
  <si>
    <r>
      <t>TS</t>
    </r>
    <r>
      <rPr>
        <vertAlign val="subscript"/>
        <sz val="16"/>
        <color indexed="8"/>
        <rFont val="Arial"/>
        <family val="2"/>
      </rPr>
      <t>RS</t>
    </r>
    <r>
      <rPr>
        <sz val="16"/>
        <color indexed="8"/>
        <rFont val="Arial"/>
        <family val="2"/>
      </rPr>
      <t xml:space="preserve"> = TS</t>
    </r>
    <r>
      <rPr>
        <vertAlign val="subscript"/>
        <sz val="16"/>
        <color indexed="8"/>
        <rFont val="Arial"/>
        <family val="2"/>
      </rPr>
      <t>BS</t>
    </r>
    <r>
      <rPr>
        <sz val="16"/>
        <color indexed="8"/>
        <rFont val="Arial"/>
        <family val="2"/>
      </rPr>
      <t xml:space="preserve"> * 0,7</t>
    </r>
  </si>
  <si>
    <r>
      <t>VSV = TS</t>
    </r>
    <r>
      <rPr>
        <vertAlign val="subscript"/>
        <sz val="10"/>
        <color indexed="8"/>
        <rFont val="Arial"/>
        <family val="2"/>
      </rPr>
      <t>BB</t>
    </r>
    <r>
      <rPr>
        <sz val="10"/>
        <color theme="1"/>
        <rFont val="Arial"/>
        <family val="2"/>
      </rPr>
      <t xml:space="preserve"> * ISV</t>
    </r>
  </si>
  <si>
    <r>
      <t>h</t>
    </r>
    <r>
      <rPr>
        <b/>
        <vertAlign val="subscript"/>
        <sz val="10"/>
        <color indexed="8"/>
        <rFont val="Arial"/>
        <family val="2"/>
      </rPr>
      <t>1</t>
    </r>
  </si>
  <si>
    <r>
      <t>h</t>
    </r>
    <r>
      <rPr>
        <b/>
        <vertAlign val="subscript"/>
        <sz val="10"/>
        <color indexed="8"/>
        <rFont val="Arial"/>
        <family val="2"/>
      </rPr>
      <t>2</t>
    </r>
    <r>
      <rPr>
        <sz val="10"/>
        <color theme="1"/>
        <rFont val="Arial"/>
        <family val="2"/>
      </rPr>
      <t/>
    </r>
  </si>
  <si>
    <t>Klarwasserzone</t>
  </si>
  <si>
    <t>Trennzone / Rückströmzone</t>
  </si>
  <si>
    <t>Wert</t>
  </si>
  <si>
    <t>Formel-zeichen</t>
  </si>
  <si>
    <t>Parameterbezeichnung</t>
  </si>
  <si>
    <r>
      <t xml:space="preserve">CSB im Zulauf zur Belebungsstufe
</t>
    </r>
    <r>
      <rPr>
        <sz val="10"/>
        <color theme="1"/>
        <rFont val="Arial"/>
        <family val="2"/>
      </rPr>
      <t>(= Total COD)</t>
    </r>
  </si>
  <si>
    <t>Einwohnerwert</t>
  </si>
  <si>
    <t>EW</t>
  </si>
  <si>
    <t>Täglicher Abwasserzufluss bei Trockenwetter</t>
  </si>
  <si>
    <r>
      <t>Q</t>
    </r>
    <r>
      <rPr>
        <b/>
        <vertAlign val="subscript"/>
        <sz val="10"/>
        <color theme="1"/>
        <rFont val="Arial"/>
        <family val="2"/>
      </rPr>
      <t>t</t>
    </r>
  </si>
  <si>
    <r>
      <t>Q</t>
    </r>
    <r>
      <rPr>
        <b/>
        <vertAlign val="subscript"/>
        <sz val="10"/>
        <color theme="1"/>
        <rFont val="Arial"/>
        <family val="2"/>
      </rPr>
      <t>d</t>
    </r>
  </si>
  <si>
    <t>Maximaler Trockenwetterzufluss</t>
  </si>
  <si>
    <t>behördlicher Überwachungswert, CSB</t>
  </si>
  <si>
    <r>
      <t>behördlicher Überwachungswert, N</t>
    </r>
    <r>
      <rPr>
        <b/>
        <vertAlign val="subscript"/>
        <sz val="10"/>
        <color theme="1"/>
        <rFont val="Arial"/>
        <family val="2"/>
      </rPr>
      <t>anorg.</t>
    </r>
  </si>
  <si>
    <r>
      <t>behördlicher Überwachungswert, P</t>
    </r>
    <r>
      <rPr>
        <b/>
        <vertAlign val="subscript"/>
        <sz val="10"/>
        <color theme="1"/>
        <rFont val="Arial"/>
        <family val="2"/>
      </rPr>
      <t>ges.</t>
    </r>
  </si>
  <si>
    <t>Bemerkungen</t>
  </si>
  <si>
    <r>
      <t>Tägliche BSB</t>
    </r>
    <r>
      <rPr>
        <b/>
        <vertAlign val="subscript"/>
        <sz val="10"/>
        <color theme="1"/>
        <rFont val="Arial"/>
        <family val="2"/>
      </rPr>
      <t>5</t>
    </r>
    <r>
      <rPr>
        <b/>
        <sz val="10"/>
        <color theme="1"/>
        <rFont val="Arial"/>
        <family val="2"/>
      </rPr>
      <t>-Fracht im Zulauf zur KA</t>
    </r>
  </si>
  <si>
    <t>Tägliche TKN-Fracht im Zulauf zur KA</t>
  </si>
  <si>
    <r>
      <t>Tägliche NO</t>
    </r>
    <r>
      <rPr>
        <b/>
        <vertAlign val="subscript"/>
        <sz val="10"/>
        <color theme="1"/>
        <rFont val="Arial"/>
        <family val="2"/>
      </rPr>
      <t>3</t>
    </r>
    <r>
      <rPr>
        <b/>
        <sz val="10"/>
        <color theme="1"/>
        <rFont val="Arial"/>
        <family val="2"/>
      </rPr>
      <t>-N-Fracht im Zulauf zur KA</t>
    </r>
  </si>
  <si>
    <t>Tägliche P-Fracht im Zulauf zur KA</t>
  </si>
  <si>
    <t>Tägliche CSB-Fracht im Zulauf zur KA</t>
  </si>
  <si>
    <t>Tägliche Feststofffracht im Zulauf zur KA</t>
  </si>
  <si>
    <t>Maßgebende tiefste Abwassertemperatur</t>
  </si>
  <si>
    <t>Maßgebende höchste Abwassertemperatur</t>
  </si>
  <si>
    <r>
      <t>T</t>
    </r>
    <r>
      <rPr>
        <b/>
        <vertAlign val="subscript"/>
        <sz val="10"/>
        <color theme="1"/>
        <rFont val="Arial"/>
        <family val="2"/>
      </rPr>
      <t>Bem., tief</t>
    </r>
  </si>
  <si>
    <r>
      <t>T</t>
    </r>
    <r>
      <rPr>
        <b/>
        <vertAlign val="subscript"/>
        <sz val="10"/>
        <color theme="1"/>
        <rFont val="Arial"/>
        <family val="2"/>
      </rPr>
      <t>Bem., hoch</t>
    </r>
  </si>
  <si>
    <t>keine Angabe vorhanden, deshalb Schätzung</t>
  </si>
  <si>
    <r>
      <t xml:space="preserve">"Für die Bemessung </t>
    </r>
    <r>
      <rPr>
        <sz val="10"/>
        <color theme="1"/>
        <rFont val="Arial"/>
        <family val="2"/>
      </rPr>
      <t xml:space="preserve">(nach A 131) </t>
    </r>
    <r>
      <rPr>
        <i/>
        <sz val="10"/>
        <color theme="1"/>
        <rFont val="Arial"/>
        <family val="2"/>
      </rPr>
      <t xml:space="preserve">werden folgende wesentliche Zahlenwerte </t>
    </r>
    <r>
      <rPr>
        <b/>
        <i/>
        <u/>
        <sz val="10"/>
        <color theme="1"/>
        <rFont val="Arial"/>
        <family val="2"/>
      </rPr>
      <t>vom Zulauf zur biologischen Stufe</t>
    </r>
    <r>
      <rPr>
        <i/>
        <sz val="10"/>
        <color theme="1"/>
        <rFont val="Arial"/>
        <family val="2"/>
      </rPr>
      <t>, ggf. unter Einschluss der Rückflüsse aus der Schlammbehandlung … benötigt:</t>
    </r>
  </si>
  <si>
    <t>Ausgangswerte</t>
  </si>
  <si>
    <r>
      <t>B</t>
    </r>
    <r>
      <rPr>
        <b/>
        <vertAlign val="subscript"/>
        <sz val="10"/>
        <color indexed="8"/>
        <rFont val="Arial"/>
        <family val="2"/>
      </rPr>
      <t>d,BSB,Z</t>
    </r>
  </si>
  <si>
    <r>
      <t>B</t>
    </r>
    <r>
      <rPr>
        <b/>
        <vertAlign val="subscript"/>
        <sz val="10"/>
        <color indexed="8"/>
        <rFont val="Arial"/>
        <family val="2"/>
      </rPr>
      <t>d,TKN,Z</t>
    </r>
  </si>
  <si>
    <r>
      <t>B</t>
    </r>
    <r>
      <rPr>
        <b/>
        <vertAlign val="subscript"/>
        <sz val="10"/>
        <color indexed="8"/>
        <rFont val="Arial"/>
        <family val="2"/>
      </rPr>
      <t>d,NO3-N,Z</t>
    </r>
  </si>
  <si>
    <r>
      <t>B</t>
    </r>
    <r>
      <rPr>
        <b/>
        <vertAlign val="subscript"/>
        <sz val="10"/>
        <color indexed="8"/>
        <rFont val="Arial"/>
        <family val="2"/>
      </rPr>
      <t>d,P,Z</t>
    </r>
  </si>
  <si>
    <r>
      <t>Tägliche BSB</t>
    </r>
    <r>
      <rPr>
        <b/>
        <vertAlign val="subscript"/>
        <sz val="10"/>
        <color theme="1"/>
        <rFont val="Arial"/>
        <family val="2"/>
      </rPr>
      <t>5</t>
    </r>
    <r>
      <rPr>
        <b/>
        <sz val="10"/>
        <color theme="1"/>
        <rFont val="Arial"/>
        <family val="2"/>
      </rPr>
      <t>-Fracht im Zulauf zur Belebungsstufe</t>
    </r>
  </si>
  <si>
    <t>Tägliche CSB-Fracht im Zulauf zur Belebungsstufe</t>
  </si>
  <si>
    <t>Tägliche TKN-Fracht im Zulauf zur Belebungsstufe</t>
  </si>
  <si>
    <t>Tägliche NO3-N-Fracht im Zulauf zur Belebungsstufe</t>
  </si>
  <si>
    <t>Tägliche P-Fracht im Zulauf zur Belebungsstufe</t>
  </si>
  <si>
    <t>Tägliche Feststofffracht im Zulauf zur Belebungsstufe</t>
  </si>
  <si>
    <r>
      <t>B</t>
    </r>
    <r>
      <rPr>
        <b/>
        <vertAlign val="subscript"/>
        <sz val="10"/>
        <color indexed="8"/>
        <rFont val="Arial"/>
        <family val="2"/>
      </rPr>
      <t>d,BSB,ZB</t>
    </r>
  </si>
  <si>
    <r>
      <t>B</t>
    </r>
    <r>
      <rPr>
        <b/>
        <vertAlign val="subscript"/>
        <sz val="10"/>
        <color indexed="8"/>
        <rFont val="Arial"/>
        <family val="2"/>
      </rPr>
      <t>d,TKN,ZB</t>
    </r>
  </si>
  <si>
    <r>
      <t>B</t>
    </r>
    <r>
      <rPr>
        <b/>
        <vertAlign val="subscript"/>
        <sz val="10"/>
        <color indexed="8"/>
        <rFont val="Arial"/>
        <family val="2"/>
      </rPr>
      <t>d,NO3-N,ZB</t>
    </r>
  </si>
  <si>
    <r>
      <t>B</t>
    </r>
    <r>
      <rPr>
        <b/>
        <vertAlign val="subscript"/>
        <sz val="10"/>
        <color indexed="8"/>
        <rFont val="Arial"/>
        <family val="2"/>
      </rPr>
      <t>d,P,ZB</t>
    </r>
  </si>
  <si>
    <r>
      <t>B</t>
    </r>
    <r>
      <rPr>
        <b/>
        <vertAlign val="subscript"/>
        <sz val="10"/>
        <color indexed="8"/>
        <rFont val="Arial"/>
        <family val="2"/>
      </rPr>
      <t>d,AFS,Z</t>
    </r>
  </si>
  <si>
    <t>aus LONDONG et al., 2009:</t>
  </si>
  <si>
    <r>
      <t>V</t>
    </r>
    <r>
      <rPr>
        <b/>
        <vertAlign val="subscript"/>
        <sz val="10"/>
        <color theme="1"/>
        <rFont val="Arial"/>
        <family val="2"/>
      </rPr>
      <t>VKB</t>
    </r>
  </si>
  <si>
    <t>Flächenbeschickung</t>
  </si>
  <si>
    <r>
      <t>q</t>
    </r>
    <r>
      <rPr>
        <b/>
        <vertAlign val="subscript"/>
        <sz val="10"/>
        <color theme="1"/>
        <rFont val="Arial"/>
        <family val="2"/>
      </rPr>
      <t>a</t>
    </r>
  </si>
  <si>
    <t>Berechnungsformel</t>
  </si>
  <si>
    <t>Beckenoberfläche</t>
  </si>
  <si>
    <t>A</t>
  </si>
  <si>
    <t>Beckentiefe</t>
  </si>
  <si>
    <t>h</t>
  </si>
  <si>
    <t>Bemessung</t>
  </si>
  <si>
    <t>Empfohlene Flächenbeschickung: 2,0 bis 4,0 m/h</t>
  </si>
  <si>
    <t xml:space="preserve">Beckenvolumen </t>
  </si>
  <si>
    <t>Nachweise</t>
  </si>
  <si>
    <r>
      <t>A</t>
    </r>
    <r>
      <rPr>
        <b/>
        <vertAlign val="subscript"/>
        <sz val="10"/>
        <color theme="1"/>
        <rFont val="Arial"/>
        <family val="2"/>
      </rPr>
      <t>O</t>
    </r>
  </si>
  <si>
    <t>Fließquerschnittsfläche</t>
  </si>
  <si>
    <t>Beckenbreite</t>
  </si>
  <si>
    <t>Beckenlänge</t>
  </si>
  <si>
    <t>b</t>
  </si>
  <si>
    <t>l</t>
  </si>
  <si>
    <t>Aufenthaltszeit (Durchflusszeit) bei Trockenwetter</t>
  </si>
  <si>
    <r>
      <t>t</t>
    </r>
    <r>
      <rPr>
        <b/>
        <vertAlign val="subscript"/>
        <sz val="10"/>
        <color theme="1"/>
        <rFont val="Arial"/>
        <family val="2"/>
      </rPr>
      <t>R,TW</t>
    </r>
  </si>
  <si>
    <r>
      <t>t</t>
    </r>
    <r>
      <rPr>
        <b/>
        <vertAlign val="subscript"/>
        <sz val="10"/>
        <color theme="1"/>
        <rFont val="Arial"/>
        <family val="2"/>
      </rPr>
      <t>R,RW</t>
    </r>
  </si>
  <si>
    <t>Aufenthaltszeit (Durchflusszeit) bei Regenwetter</t>
  </si>
  <si>
    <t>Rechen-ergebnis
bzw. gewählt</t>
  </si>
  <si>
    <t>Wert, 
umgerechnet auf 1 h</t>
  </si>
  <si>
    <t>Berechnungsformel
bzw. Hinweise zur Wahl des Werts</t>
  </si>
  <si>
    <r>
      <t>"Maßgebend für die Bemessung des Belebungsbeckens ist das Schlammalter (t</t>
    </r>
    <r>
      <rPr>
        <vertAlign val="subscript"/>
        <sz val="10"/>
        <rFont val="Arial"/>
        <family val="2"/>
      </rPr>
      <t>TS</t>
    </r>
    <r>
      <rPr>
        <sz val="10"/>
        <rFont val="Arial"/>
        <family val="2"/>
      </rPr>
      <t>), das in etwa der mittleren Aufenthaltszeit einer Schlammflocke im Belebungsbecken entspricht. Es ist definiert als der Quotient aus der Trockenmasse des Schlammes im Belebungsbecken (V</t>
    </r>
    <r>
      <rPr>
        <vertAlign val="subscript"/>
        <sz val="10"/>
        <rFont val="Arial"/>
        <family val="2"/>
      </rPr>
      <t>BB</t>
    </r>
    <r>
      <rPr>
        <sz val="10"/>
        <rFont val="Arial"/>
        <family val="2"/>
      </rPr>
      <t xml:space="preserve"> · TS</t>
    </r>
    <r>
      <rPr>
        <vertAlign val="subscript"/>
        <sz val="10"/>
        <rFont val="Arial"/>
        <family val="2"/>
      </rPr>
      <t>BB</t>
    </r>
    <r>
      <rPr>
        <sz val="10"/>
        <rFont val="Arial"/>
        <family val="2"/>
      </rPr>
      <t>) und der im Mittel täglich produzierten (und abgezogenen) Trockenmasse an Schlamm. 
Wenn das Belebungsbecken anoxische Zonen zur Denitrifikation aufweist (V</t>
    </r>
    <r>
      <rPr>
        <vertAlign val="subscript"/>
        <sz val="10"/>
        <rFont val="Arial"/>
        <family val="2"/>
      </rPr>
      <t>D</t>
    </r>
    <r>
      <rPr>
        <sz val="10"/>
        <rFont val="Arial"/>
        <family val="2"/>
      </rPr>
      <t>), ist das aerobe Schlammalter (t</t>
    </r>
    <r>
      <rPr>
        <vertAlign val="subscript"/>
        <sz val="10"/>
        <rFont val="Arial"/>
        <family val="2"/>
      </rPr>
      <t>TS,aerob</t>
    </r>
    <r>
      <rPr>
        <sz val="10"/>
        <rFont val="Arial"/>
        <family val="2"/>
      </rPr>
      <t>) als Quotient der Trockenmasse des Schlammes im aeroben Teil des Belebungsbeckens (V</t>
    </r>
    <r>
      <rPr>
        <vertAlign val="subscript"/>
        <sz val="10"/>
        <rFont val="Arial"/>
        <family val="2"/>
      </rPr>
      <t>N</t>
    </r>
    <r>
      <rPr>
        <sz val="10"/>
        <rFont val="Arial"/>
        <family val="2"/>
      </rPr>
      <t xml:space="preserve"> = V</t>
    </r>
    <r>
      <rPr>
        <vertAlign val="subscript"/>
        <sz val="10"/>
        <rFont val="Arial"/>
        <family val="2"/>
      </rPr>
      <t>BB</t>
    </r>
    <r>
      <rPr>
        <sz val="10"/>
        <rFont val="Arial"/>
        <family val="2"/>
      </rPr>
      <t xml:space="preserve"> – V</t>
    </r>
    <r>
      <rPr>
        <vertAlign val="subscript"/>
        <sz val="10"/>
        <rFont val="Arial"/>
        <family val="2"/>
      </rPr>
      <t>D</t>
    </r>
    <r>
      <rPr>
        <sz val="10"/>
        <rFont val="Arial"/>
        <family val="2"/>
      </rPr>
      <t>) und der im Mittel täglich produzierten Masse an Schlamm definiert." [ATV-DVWK-A 131, 2000]</t>
    </r>
  </si>
  <si>
    <t>Festlegung der maßgebenden Belastung</t>
  </si>
  <si>
    <t xml:space="preserve">Verfahrenswahl: Wenn Stickstoffelimination gefordert wird, ist zu entscheiden, welches Verfahren zur Nitrifikation/Denitrifikation eingesetzt werden soll. Weiterhin ist festzulegen, ob ein Selektor zur Verbesserung der Absetzeigenschaften oder ein anaerobes Becken zur biologischen Phosphorelimination vorgeschaltet werden soll. </t>
  </si>
  <si>
    <t>Schritt</t>
  </si>
  <si>
    <t>Aktivität</t>
  </si>
  <si>
    <t>Ermittlung der Nachklärbeckentiefe aus Teiltiefen für die Funktionszonen und den weiteren Vorgaben.</t>
  </si>
  <si>
    <t>Berechnung des Volumens des Belebungsbeckens.</t>
  </si>
  <si>
    <r>
      <t>"Aufgrund aller bisherigen Erfahrungen wird für kommunale Anlagen empfohlen, bei Anschlusswerten bis zu B</t>
    </r>
    <r>
      <rPr>
        <vertAlign val="subscript"/>
        <sz val="10"/>
        <color indexed="8"/>
        <rFont val="Arial"/>
        <family val="2"/>
      </rPr>
      <t>d,BSB,Z</t>
    </r>
    <r>
      <rPr>
        <sz val="10"/>
        <color theme="1"/>
        <rFont val="Arial"/>
        <family val="2"/>
      </rPr>
      <t xml:space="preserve"> = 1.200 kg/d (20.000 EW) wegen der ausgeprägteren Schwankungen der Zulauffrachten mit SF = 1,8 und ab B</t>
    </r>
    <r>
      <rPr>
        <vertAlign val="subscript"/>
        <sz val="10"/>
        <color indexed="8"/>
        <rFont val="Arial"/>
        <family val="2"/>
      </rPr>
      <t>d,BSB,Z</t>
    </r>
    <r>
      <rPr>
        <sz val="10"/>
        <color theme="1"/>
        <rFont val="Arial"/>
        <family val="2"/>
      </rPr>
      <t xml:space="preserve"> = 6.000 kg/d (100.000 EW) mit SF = 1,45 zu rechnen. Hierbei kann die Ablaufkonzentration im Mittel bei S</t>
    </r>
    <r>
      <rPr>
        <vertAlign val="subscript"/>
        <sz val="10"/>
        <color indexed="8"/>
        <rFont val="Arial"/>
        <family val="2"/>
      </rPr>
      <t>NH4,AN</t>
    </r>
    <r>
      <rPr>
        <sz val="10"/>
        <color theme="1"/>
        <rFont val="Arial"/>
        <family val="2"/>
      </rPr>
      <t xml:space="preserve"> = 1,0 mg/l gehalten werden, solange keine negative Beeinflussung der maximalen Wachstumsrate der Nitrifikanten vorliegt." [ATV-DVWK-A 131, 2000]</t>
    </r>
  </si>
  <si>
    <t>Maßgebende Belastung</t>
  </si>
  <si>
    <r>
      <t>t</t>
    </r>
    <r>
      <rPr>
        <vertAlign val="subscript"/>
        <sz val="10"/>
        <rFont val="Arial"/>
        <family val="2"/>
      </rPr>
      <t>TS,aerob</t>
    </r>
  </si>
  <si>
    <r>
      <t>Ergibt sich aus ÜW</t>
    </r>
    <r>
      <rPr>
        <vertAlign val="subscript"/>
        <sz val="10"/>
        <color theme="1"/>
        <rFont val="Arial"/>
        <family val="2"/>
      </rPr>
      <t>Nges.anorg.</t>
    </r>
    <r>
      <rPr>
        <sz val="10"/>
        <color theme="1"/>
        <rFont val="Arial"/>
        <family val="2"/>
      </rPr>
      <t>, wobei oft ein Sicherheitsabschlag sinnvoll sein kann.
Soweit ÜW</t>
    </r>
    <r>
      <rPr>
        <vertAlign val="subscript"/>
        <sz val="10"/>
        <color theme="1"/>
        <rFont val="Arial"/>
        <family val="2"/>
      </rPr>
      <t>Nges.anorg</t>
    </r>
    <r>
      <rPr>
        <sz val="10"/>
        <color theme="1"/>
        <rFont val="Arial"/>
        <family val="2"/>
      </rPr>
      <t xml:space="preserve"> nicht bekannt ist, kann dieser Wert aus Anhang 1 der Abwasserverordnung entnommen werden.</t>
    </r>
  </si>
  <si>
    <t>Stickstoff im Zulauf zur Belebung</t>
  </si>
  <si>
    <t>Nitratkonzentration im Zulauf zur Belebung</t>
  </si>
  <si>
    <t>Nitritkonzentration im Zulauf zur Belebung</t>
  </si>
  <si>
    <t>TKN-Konzentration im Zulauf zur Belebung</t>
  </si>
  <si>
    <r>
      <t>C</t>
    </r>
    <r>
      <rPr>
        <vertAlign val="subscript"/>
        <sz val="14"/>
        <color indexed="8"/>
        <rFont val="Arial"/>
        <family val="2"/>
      </rPr>
      <t>TKN,ZB</t>
    </r>
    <r>
      <rPr>
        <sz val="14"/>
        <color indexed="8"/>
        <rFont val="Arial"/>
        <family val="2"/>
      </rPr>
      <t xml:space="preserve"> = S</t>
    </r>
    <r>
      <rPr>
        <vertAlign val="subscript"/>
        <sz val="14"/>
        <color indexed="8"/>
        <rFont val="Arial"/>
        <family val="2"/>
      </rPr>
      <t>NH4-N, ZB</t>
    </r>
    <r>
      <rPr>
        <sz val="14"/>
        <color indexed="8"/>
        <rFont val="Arial"/>
        <family val="2"/>
      </rPr>
      <t xml:space="preserve"> + S</t>
    </r>
    <r>
      <rPr>
        <vertAlign val="subscript"/>
        <sz val="14"/>
        <color indexed="8"/>
        <rFont val="Arial"/>
        <family val="2"/>
      </rPr>
      <t>orgN,ZB</t>
    </r>
    <r>
      <rPr>
        <sz val="14"/>
        <color indexed="8"/>
        <rFont val="Arial"/>
        <family val="2"/>
      </rPr>
      <t xml:space="preserve"> + X</t>
    </r>
    <r>
      <rPr>
        <vertAlign val="subscript"/>
        <sz val="14"/>
        <color indexed="8"/>
        <rFont val="Arial"/>
        <family val="2"/>
      </rPr>
      <t>orgN,ZB</t>
    </r>
  </si>
  <si>
    <t>Nitratzulauffracht ist explizit angegeben</t>
  </si>
  <si>
    <r>
      <t xml:space="preserve">Üblicherweise Null (wenn </t>
    </r>
    <r>
      <rPr>
        <sz val="10"/>
        <color theme="1"/>
        <rFont val="Symbol"/>
        <family val="1"/>
        <charset val="2"/>
      </rPr>
      <t>¹</t>
    </r>
    <r>
      <rPr>
        <sz val="10"/>
        <color theme="1"/>
        <rFont val="Arial"/>
        <family val="2"/>
      </rPr>
      <t xml:space="preserve"> 0, dann Abbauhemmung in der Nitrifikation zu befürchten!)</t>
    </r>
  </si>
  <si>
    <r>
      <rPr>
        <sz val="10"/>
        <color theme="1"/>
        <rFont val="Arial"/>
        <family val="2"/>
      </rPr>
      <t>Nach Anhang 1 gilt für 90.000 EW ÜW</t>
    </r>
    <r>
      <rPr>
        <vertAlign val="subscript"/>
        <sz val="10"/>
        <color theme="1"/>
        <rFont val="Arial"/>
        <family val="2"/>
      </rPr>
      <t>Nges,anorg</t>
    </r>
    <r>
      <rPr>
        <sz val="10"/>
        <color theme="1"/>
        <rFont val="Arial"/>
        <family val="2"/>
      </rPr>
      <t xml:space="preserve"> = 18 mg/l. Für KA Gevelsberg wurde seitens der Behörde offensichtlich die Anforderung für 100.000 EW herangezogen (13 mg/l). 
gewählt 7,5 mg/l (25% Abschlag)</t>
    </r>
  </si>
  <si>
    <r>
      <t>"Der Ammoniumgehalt im Ablauf wird für die Bemessung in der Regel sicherheitshalber mit S</t>
    </r>
    <r>
      <rPr>
        <vertAlign val="subscript"/>
        <sz val="10"/>
        <color theme="1"/>
        <rFont val="Arial"/>
        <family val="2"/>
      </rPr>
      <t>NH4,AN</t>
    </r>
    <r>
      <rPr>
        <sz val="10"/>
        <color theme="1"/>
        <rFont val="Arial"/>
        <family val="2"/>
      </rPr>
      <t xml:space="preserve"> = 0 angenommen." [ATV-DVWK-A 131, 2000]</t>
    </r>
  </si>
  <si>
    <r>
      <t>"Die Konzentration an organischem Stickstoff im Ablauf kann man mit S</t>
    </r>
    <r>
      <rPr>
        <vertAlign val="subscript"/>
        <sz val="10"/>
        <color indexed="8"/>
        <rFont val="Arial"/>
        <family val="2"/>
      </rPr>
      <t>orgN,AN</t>
    </r>
    <r>
      <rPr>
        <sz val="10"/>
        <color theme="1"/>
        <rFont val="Arial"/>
        <family val="2"/>
      </rPr>
      <t xml:space="preserve"> = 2 mg/l ansetzen." [ATV-DVWK-A 131, 2000]</t>
    </r>
  </si>
  <si>
    <r>
      <rPr>
        <sz val="10"/>
        <color theme="1"/>
        <rFont val="Arial"/>
        <family val="2"/>
      </rPr>
      <t>Nach Anhang 1 gilt für 90.000 EW ÜW</t>
    </r>
    <r>
      <rPr>
        <vertAlign val="subscript"/>
        <sz val="10"/>
        <color theme="1"/>
        <rFont val="Arial"/>
        <family val="2"/>
      </rPr>
      <t>NH4-N</t>
    </r>
    <r>
      <rPr>
        <sz val="10"/>
        <color theme="1"/>
        <rFont val="Arial"/>
        <family val="2"/>
      </rPr>
      <t xml:space="preserve"> = 10 mg/l.
gewählt 0 mg/l</t>
    </r>
  </si>
  <si>
    <r>
      <t>gewählt 2 mg/l
Eine Anforderung an N</t>
    </r>
    <r>
      <rPr>
        <vertAlign val="subscript"/>
        <sz val="10"/>
        <color theme="1"/>
        <rFont val="Arial"/>
        <family val="2"/>
      </rPr>
      <t>org</t>
    </r>
    <r>
      <rPr>
        <sz val="10"/>
        <color theme="1"/>
        <rFont val="Arial"/>
        <family val="2"/>
      </rPr>
      <t xml:space="preserve"> besteht in Anhang 1 der Abwasserverordnung nicht!</t>
    </r>
  </si>
  <si>
    <t>gewählt mittlere N-Festlegung in der Biomasse</t>
  </si>
  <si>
    <r>
      <t>S</t>
    </r>
    <r>
      <rPr>
        <b/>
        <vertAlign val="subscript"/>
        <sz val="10"/>
        <color indexed="8"/>
        <rFont val="Arial"/>
        <family val="2"/>
      </rPr>
      <t>NO3,D</t>
    </r>
    <r>
      <rPr>
        <b/>
        <sz val="10"/>
        <color indexed="8"/>
        <rFont val="Arial"/>
        <family val="2"/>
      </rPr>
      <t xml:space="preserve"> / 
C</t>
    </r>
    <r>
      <rPr>
        <b/>
        <vertAlign val="subscript"/>
        <sz val="10"/>
        <color indexed="8"/>
        <rFont val="Arial"/>
        <family val="2"/>
      </rPr>
      <t>BSB,ZB</t>
    </r>
  </si>
  <si>
    <t>Formelzeichen</t>
  </si>
  <si>
    <t>Ammoniumkonzentration im Schlammwasser</t>
  </si>
  <si>
    <t>"Wasser aus der Eindickung und Entwässerung ausgefaulter Schlämme enthält Ammonium in hohen Konzentrationen. Es kann angenommen werden, dass 50 % des in die Schlammfaulung eingebrachten organischen Stickstoffs als Ammoniumstickstoff freigesetzt wird." [ATV-DVWK-A 131, 2000]</t>
  </si>
  <si>
    <t>Als Bemessungstemperatur ist jene einzusetzen, bei der in D nach der Abwasserverordnung Stickstoffelimination gefordert wird, d. h. 12°C.</t>
  </si>
  <si>
    <r>
      <t>B</t>
    </r>
    <r>
      <rPr>
        <b/>
        <vertAlign val="subscript"/>
        <sz val="10"/>
        <color indexed="8"/>
        <rFont val="Arial"/>
        <family val="2"/>
      </rPr>
      <t>d,CSB,Z</t>
    </r>
  </si>
  <si>
    <r>
      <t>B</t>
    </r>
    <r>
      <rPr>
        <b/>
        <vertAlign val="subscript"/>
        <sz val="10"/>
        <color indexed="8"/>
        <rFont val="Arial"/>
        <family val="2"/>
      </rPr>
      <t>d,CSB,ZB</t>
    </r>
  </si>
  <si>
    <t>Eindickzeit</t>
  </si>
  <si>
    <r>
      <t>t</t>
    </r>
    <r>
      <rPr>
        <b/>
        <vertAlign val="subscript"/>
        <sz val="10"/>
        <color theme="1"/>
        <rFont val="Arial"/>
        <family val="2"/>
      </rPr>
      <t>E</t>
    </r>
  </si>
  <si>
    <t>Trockensubstanzgehalt im Belebungsbecken</t>
  </si>
  <si>
    <r>
      <t>TS</t>
    </r>
    <r>
      <rPr>
        <b/>
        <vertAlign val="subscript"/>
        <sz val="10"/>
        <color theme="1"/>
        <rFont val="Arial"/>
        <family val="2"/>
      </rPr>
      <t>BB</t>
    </r>
  </si>
  <si>
    <r>
      <t>gewählt gemäß Tab. 10 Eindickzeit t</t>
    </r>
    <r>
      <rPr>
        <vertAlign val="subscript"/>
        <sz val="10"/>
        <color theme="1"/>
        <rFont val="Arial"/>
        <family val="2"/>
      </rPr>
      <t>E</t>
    </r>
    <r>
      <rPr>
        <sz val="10"/>
        <color theme="1"/>
        <rFont val="Arial"/>
        <family val="2"/>
      </rPr>
      <t xml:space="preserve"> = 2,0 h</t>
    </r>
  </si>
  <si>
    <r>
      <t>errechnet aus TS</t>
    </r>
    <r>
      <rPr>
        <vertAlign val="subscript"/>
        <sz val="10"/>
        <color theme="1"/>
        <rFont val="Arial"/>
        <family val="2"/>
      </rPr>
      <t>BS</t>
    </r>
    <r>
      <rPr>
        <sz val="10"/>
        <color theme="1"/>
        <rFont val="Arial"/>
        <family val="2"/>
      </rPr>
      <t xml:space="preserve"> = 10 kg/m³ und t</t>
    </r>
    <r>
      <rPr>
        <vertAlign val="subscript"/>
        <sz val="10"/>
        <color theme="1"/>
        <rFont val="Arial"/>
        <family val="2"/>
      </rPr>
      <t>E</t>
    </r>
    <r>
      <rPr>
        <sz val="10"/>
        <color theme="1"/>
        <rFont val="Arial"/>
        <family val="2"/>
      </rPr>
      <t xml:space="preserve"> = 2 h</t>
    </r>
  </si>
  <si>
    <r>
      <t>Für Belebungsanlagen mit Denitrifikation empfiehlt A 131 eine Eindickzeit t</t>
    </r>
    <r>
      <rPr>
        <vertAlign val="subscript"/>
        <sz val="10"/>
        <color theme="1"/>
        <rFont val="Arial"/>
        <family val="2"/>
      </rPr>
      <t>E</t>
    </r>
    <r>
      <rPr>
        <sz val="10"/>
        <color theme="1"/>
        <rFont val="Arial"/>
        <family val="2"/>
      </rPr>
      <t xml:space="preserve"> von 2...2,5 h. "Eine Überschreitung der Eindickzeit von t</t>
    </r>
    <r>
      <rPr>
        <vertAlign val="subscript"/>
        <sz val="10"/>
        <color theme="1"/>
        <rFont val="Arial"/>
        <family val="2"/>
      </rPr>
      <t>E</t>
    </r>
    <r>
      <rPr>
        <sz val="10"/>
        <color theme="1"/>
        <rFont val="Arial"/>
        <family val="2"/>
      </rPr>
      <t xml:space="preserve"> = 2,0 h setzt eine sehr weitgehende Denitrifikation im Belebungsbecken voraus. Diese Eindickzeiten werden nur bei entsprechend geringem Schlammindex und kleinem Rücklaufverhältnis erreicht."</t>
    </r>
  </si>
  <si>
    <t>errechnet aus empirischer Formel</t>
  </si>
  <si>
    <r>
      <t>q</t>
    </r>
    <r>
      <rPr>
        <b/>
        <vertAlign val="subscript"/>
        <sz val="10"/>
        <color indexed="8"/>
        <rFont val="Arial"/>
        <family val="2"/>
      </rPr>
      <t>SV</t>
    </r>
  </si>
  <si>
    <r>
      <t>"Um den Trockensubstanzgehalt X</t>
    </r>
    <r>
      <rPr>
        <vertAlign val="subscript"/>
        <sz val="10"/>
        <color indexed="8"/>
        <rFont val="Arial"/>
        <family val="2"/>
      </rPr>
      <t>TS,AN</t>
    </r>
    <r>
      <rPr>
        <sz val="10"/>
        <color theme="1"/>
        <rFont val="Arial"/>
        <family val="2"/>
      </rPr>
      <t xml:space="preserve"> und den dadurch bedingten CSB bzw. Phospor im
Ablauf horizontal durchströmter Nachklärbecken niedrig zu halten, ist für vorwiegend horizontal durchströmte Nachklärbecken folgende Schlammvolumenbeschickung q</t>
    </r>
    <r>
      <rPr>
        <vertAlign val="subscript"/>
        <sz val="10"/>
        <color indexed="8"/>
        <rFont val="Arial"/>
        <family val="2"/>
      </rPr>
      <t>SV</t>
    </r>
    <r>
      <rPr>
        <sz val="10"/>
        <color theme="1"/>
        <rFont val="Arial"/>
        <family val="2"/>
      </rPr>
      <t xml:space="preserve"> einzuhalten:
q</t>
    </r>
    <r>
      <rPr>
        <vertAlign val="subscript"/>
        <sz val="10"/>
        <color indexed="8"/>
        <rFont val="Arial"/>
        <family val="2"/>
      </rPr>
      <t>SV</t>
    </r>
    <r>
      <rPr>
        <sz val="10"/>
        <color theme="1"/>
        <rFont val="Arial"/>
        <family val="2"/>
      </rPr>
      <t xml:space="preserve"> &lt; 500 l/(m²·h) für X</t>
    </r>
    <r>
      <rPr>
        <vertAlign val="subscript"/>
        <sz val="10"/>
        <color indexed="8"/>
        <rFont val="Arial"/>
        <family val="2"/>
      </rPr>
      <t>TS,AN</t>
    </r>
    <r>
      <rPr>
        <sz val="10"/>
        <color theme="1"/>
        <rFont val="Arial"/>
        <family val="2"/>
      </rPr>
      <t xml:space="preserve"> &lt; 20 mg/l..."
"Bei der Nachklärbeckenbemessung müssen für die Schlammvolumenbeschickung q</t>
    </r>
    <r>
      <rPr>
        <vertAlign val="subscript"/>
        <sz val="10"/>
        <color theme="1"/>
        <rFont val="Arial"/>
        <family val="2"/>
      </rPr>
      <t>SV</t>
    </r>
    <r>
      <rPr>
        <sz val="10"/>
        <color theme="1"/>
        <rFont val="Arial"/>
        <family val="2"/>
      </rPr>
      <t xml:space="preserve"> nicht zwangsläufig die zulässigen Maximalwerte gewählt werden. Beim Nachweis bestehender Nachklärbecken kann q</t>
    </r>
    <r>
      <rPr>
        <vertAlign val="subscript"/>
        <sz val="10"/>
        <color theme="1"/>
        <rFont val="Arial"/>
        <family val="2"/>
      </rPr>
      <t>SV</t>
    </r>
    <r>
      <rPr>
        <sz val="10"/>
        <color theme="1"/>
        <rFont val="Arial"/>
        <family val="2"/>
      </rPr>
      <t xml:space="preserve"> iterativ so lange reduziert werden, bis die rechnerische Tiefe mit der tatsächlich vorhandenen übereinstimmt. Für diese Schlammvolumenbeschickung ist anschließend die Beckenoberfläche nachzuweisen." [ATV-DVWK-A 131, 2000]</t>
    </r>
  </si>
  <si>
    <r>
      <t>"Die Flächenbeschickung q</t>
    </r>
    <r>
      <rPr>
        <vertAlign val="subscript"/>
        <sz val="10"/>
        <color theme="1"/>
        <rFont val="Arial"/>
        <family val="2"/>
      </rPr>
      <t>A</t>
    </r>
    <r>
      <rPr>
        <sz val="10"/>
        <color theme="1"/>
        <rFont val="Arial"/>
        <family val="2"/>
      </rPr>
      <t xml:space="preserve"> darf bei vorwiegend horizontal durchströmten Nachklärbecken 1,6 m/h </t>
    </r>
    <r>
      <rPr>
        <sz val="10"/>
        <color theme="0" tint="-0.14999847407452621"/>
        <rFont val="Arial"/>
        <family val="2"/>
      </rPr>
      <t>und bei vorwiegend vertikal durchströmten Nachklärbecken 2,0 m/h</t>
    </r>
    <r>
      <rPr>
        <sz val="10"/>
        <color theme="1"/>
        <rFont val="Arial"/>
        <family val="2"/>
      </rPr>
      <t xml:space="preserve"> nicht übersteigen."  [ATV-DVWK-A 131, 2000]</t>
    </r>
  </si>
  <si>
    <r>
      <t>Schlammvolumenbeschickung, bezogen auf A</t>
    </r>
    <r>
      <rPr>
        <b/>
        <vertAlign val="subscript"/>
        <sz val="10"/>
        <color theme="1"/>
        <rFont val="Arial"/>
        <family val="2"/>
      </rPr>
      <t>NB</t>
    </r>
  </si>
  <si>
    <t>Flächenbeschickung der Nachklärung</t>
  </si>
  <si>
    <r>
      <t>"Die Klarwasserzone ist eine Sicherheitszone mit einer Mindesttiefe von h</t>
    </r>
    <r>
      <rPr>
        <vertAlign val="subscript"/>
        <sz val="10"/>
        <color indexed="8"/>
        <rFont val="Arial"/>
        <family val="2"/>
      </rPr>
      <t>1</t>
    </r>
    <r>
      <rPr>
        <sz val="10"/>
        <color theme="1"/>
        <rFont val="Arial"/>
        <family val="2"/>
      </rPr>
      <t xml:space="preserve"> = 0,50 m."  [ATV-DVWK-A 131, 2000]</t>
    </r>
  </si>
  <si>
    <r>
      <t>ÜS</t>
    </r>
    <r>
      <rPr>
        <b/>
        <vertAlign val="subscript"/>
        <sz val="10"/>
        <color indexed="8"/>
        <rFont val="Arial"/>
        <family val="2"/>
      </rPr>
      <t>d,C</t>
    </r>
  </si>
  <si>
    <t>Tägliche Schlammproduktion (Feststoffe)</t>
  </si>
  <si>
    <t>Tägliche Schlammproduktion aus der Kohlenstoffelimination</t>
  </si>
  <si>
    <t>Schlammalter, bezogen auf VBB</t>
  </si>
  <si>
    <r>
      <t>BSB</t>
    </r>
    <r>
      <rPr>
        <b/>
        <vertAlign val="subscript"/>
        <sz val="10"/>
        <color theme="1"/>
        <rFont val="Arial"/>
        <family val="2"/>
      </rPr>
      <t>5</t>
    </r>
    <r>
      <rPr>
        <b/>
        <sz val="10"/>
        <color theme="1"/>
        <rFont val="Arial"/>
        <family val="2"/>
      </rPr>
      <t>-Raumbelastung</t>
    </r>
  </si>
  <si>
    <r>
      <t>B</t>
    </r>
    <r>
      <rPr>
        <b/>
        <vertAlign val="subscript"/>
        <sz val="10"/>
        <color theme="1"/>
        <rFont val="Arial"/>
        <family val="2"/>
      </rPr>
      <t>R,BSB</t>
    </r>
  </si>
  <si>
    <r>
      <t>B</t>
    </r>
    <r>
      <rPr>
        <b/>
        <vertAlign val="subscript"/>
        <sz val="10"/>
        <color theme="1"/>
        <rFont val="Arial"/>
        <family val="2"/>
      </rPr>
      <t>TS,BSB</t>
    </r>
  </si>
  <si>
    <r>
      <t>BSB</t>
    </r>
    <r>
      <rPr>
        <b/>
        <vertAlign val="subscript"/>
        <sz val="10"/>
        <color theme="1"/>
        <rFont val="Arial"/>
        <family val="2"/>
      </rPr>
      <t>5</t>
    </r>
    <r>
      <rPr>
        <b/>
        <sz val="10"/>
        <color theme="1"/>
        <rFont val="Arial"/>
        <family val="2"/>
      </rPr>
      <t>-Schlammbelastung</t>
    </r>
  </si>
  <si>
    <r>
      <t>C</t>
    </r>
    <r>
      <rPr>
        <b/>
        <vertAlign val="subscript"/>
        <sz val="10"/>
        <color theme="1"/>
        <rFont val="Arial"/>
        <family val="2"/>
      </rPr>
      <t>BSB,ZB</t>
    </r>
  </si>
  <si>
    <r>
      <t>C</t>
    </r>
    <r>
      <rPr>
        <b/>
        <vertAlign val="subscript"/>
        <sz val="10"/>
        <color theme="1"/>
        <rFont val="Arial"/>
        <family val="2"/>
      </rPr>
      <t>P,ZB</t>
    </r>
  </si>
  <si>
    <t>Maßgebende Konzentration der Feststoffe im Zulauf zur Belebung</t>
  </si>
  <si>
    <t>Maßgebende Konzentration des Phosphors im Zulauf zur Belebung</t>
  </si>
  <si>
    <r>
      <t>X</t>
    </r>
    <r>
      <rPr>
        <b/>
        <vertAlign val="subscript"/>
        <sz val="10"/>
        <color theme="1"/>
        <rFont val="Arial"/>
        <family val="2"/>
      </rPr>
      <t>TS,ZB</t>
    </r>
  </si>
  <si>
    <r>
      <t>C</t>
    </r>
    <r>
      <rPr>
        <vertAlign val="subscript"/>
        <sz val="14"/>
        <color indexed="8"/>
        <rFont val="Arial"/>
        <family val="2"/>
      </rPr>
      <t>N,ZB</t>
    </r>
    <r>
      <rPr>
        <sz val="14"/>
        <color indexed="8"/>
        <rFont val="Arial"/>
        <family val="2"/>
      </rPr>
      <t xml:space="preserve"> = S</t>
    </r>
    <r>
      <rPr>
        <vertAlign val="subscript"/>
        <sz val="14"/>
        <color indexed="8"/>
        <rFont val="Arial"/>
        <family val="2"/>
      </rPr>
      <t>TKN, ZB</t>
    </r>
    <r>
      <rPr>
        <sz val="14"/>
        <color indexed="8"/>
        <rFont val="Arial"/>
        <family val="2"/>
      </rPr>
      <t xml:space="preserve"> + S</t>
    </r>
    <r>
      <rPr>
        <vertAlign val="subscript"/>
        <sz val="14"/>
        <color indexed="8"/>
        <rFont val="Arial"/>
        <family val="2"/>
      </rPr>
      <t>NO3,ZB</t>
    </r>
    <r>
      <rPr>
        <sz val="14"/>
        <color indexed="8"/>
        <rFont val="Arial"/>
        <family val="2"/>
      </rPr>
      <t xml:space="preserve"> + S</t>
    </r>
    <r>
      <rPr>
        <vertAlign val="subscript"/>
        <sz val="14"/>
        <color indexed="8"/>
        <rFont val="Arial"/>
        <family val="2"/>
      </rPr>
      <t>NO2-N,ZB</t>
    </r>
    <r>
      <rPr>
        <sz val="14"/>
        <color indexed="8"/>
        <rFont val="Arial"/>
        <family val="2"/>
      </rPr>
      <t xml:space="preserve"> + S</t>
    </r>
    <r>
      <rPr>
        <vertAlign val="subscript"/>
        <sz val="14"/>
        <color indexed="8"/>
        <rFont val="Arial"/>
        <family val="2"/>
      </rPr>
      <t>NH4-N,Schlammwasser</t>
    </r>
    <r>
      <rPr>
        <sz val="14"/>
        <color indexed="8"/>
        <rFont val="Arial"/>
        <family val="2"/>
      </rPr>
      <t/>
    </r>
  </si>
  <si>
    <r>
      <t>B</t>
    </r>
    <r>
      <rPr>
        <b/>
        <vertAlign val="subscript"/>
        <sz val="10"/>
        <color indexed="8"/>
        <rFont val="Arial"/>
        <family val="2"/>
      </rPr>
      <t>d,AFS,ZB</t>
    </r>
    <r>
      <rPr>
        <b/>
        <sz val="10"/>
        <color indexed="8"/>
        <rFont val="Arial"/>
        <family val="2"/>
      </rPr>
      <t/>
    </r>
  </si>
  <si>
    <t>Zu der N-Fracht des der KA zulaufenden Abwassers sind jene N-Frachten hinzuzurechnen, die aus der Schlammbehandlung stammen (Zentratwasser).
gewählt: 4,3 mg/l</t>
  </si>
  <si>
    <t>Phosphatgehalt nach Bio-P, der durch Flockung/Fällung zu eliminieren ist</t>
  </si>
  <si>
    <r>
      <t>X</t>
    </r>
    <r>
      <rPr>
        <b/>
        <vertAlign val="subscript"/>
        <sz val="10"/>
        <color theme="1"/>
        <rFont val="Arial"/>
        <family val="2"/>
      </rPr>
      <t>P,Fäll</t>
    </r>
  </si>
  <si>
    <t>Konzentration des Phosphors im Ablauf der Nachklärung</t>
  </si>
  <si>
    <r>
      <t>C</t>
    </r>
    <r>
      <rPr>
        <b/>
        <vertAlign val="subscript"/>
        <sz val="10"/>
        <color theme="1"/>
        <rFont val="Arial"/>
        <family val="2"/>
      </rPr>
      <t>P,AN</t>
    </r>
  </si>
  <si>
    <t>Phosphor, der in die heterotrophe Biomasse eingebaut wird</t>
  </si>
  <si>
    <r>
      <t>X</t>
    </r>
    <r>
      <rPr>
        <b/>
        <vertAlign val="subscript"/>
        <sz val="10"/>
        <color theme="1"/>
        <rFont val="Arial"/>
        <family val="2"/>
      </rPr>
      <t>P,BM</t>
    </r>
  </si>
  <si>
    <t>Faktor gewählt zu 0,65 (Mittelwert des angegebenen Schwankungsbereichs)</t>
  </si>
  <si>
    <t>RF</t>
  </si>
  <si>
    <t>Rückführverhältnis für interne Rezirkulation</t>
  </si>
  <si>
    <t>Zu nitrifizierender Ammoniumstickstoff</t>
  </si>
  <si>
    <r>
      <t>S</t>
    </r>
    <r>
      <rPr>
        <b/>
        <vertAlign val="subscript"/>
        <sz val="10"/>
        <color theme="1"/>
        <rFont val="Arial"/>
        <family val="2"/>
      </rPr>
      <t>NH4,N</t>
    </r>
  </si>
  <si>
    <r>
      <t>X</t>
    </r>
    <r>
      <rPr>
        <vertAlign val="subscript"/>
        <sz val="14"/>
        <color indexed="8"/>
        <rFont val="Arial"/>
        <family val="2"/>
      </rPr>
      <t>orgN,BM</t>
    </r>
    <r>
      <rPr>
        <sz val="14"/>
        <color indexed="8"/>
        <rFont val="Arial"/>
        <family val="2"/>
      </rPr>
      <t xml:space="preserve"> = 0,04 bis 0,05 · C</t>
    </r>
    <r>
      <rPr>
        <vertAlign val="subscript"/>
        <sz val="14"/>
        <color indexed="8"/>
        <rFont val="Arial"/>
        <family val="2"/>
      </rPr>
      <t>BSB,ZB</t>
    </r>
  </si>
  <si>
    <r>
      <t>Q</t>
    </r>
    <r>
      <rPr>
        <b/>
        <vertAlign val="subscript"/>
        <sz val="10"/>
        <color theme="1"/>
        <rFont val="Arial"/>
        <family val="2"/>
      </rPr>
      <t>RZ</t>
    </r>
  </si>
  <si>
    <t>wegen</t>
  </si>
  <si>
    <t>Volumenstrom der internen Rezirkulation</t>
  </si>
  <si>
    <r>
      <t>S</t>
    </r>
    <r>
      <rPr>
        <vertAlign val="subscript"/>
        <sz val="14"/>
        <color indexed="8"/>
        <rFont val="Arial"/>
        <family val="2"/>
      </rPr>
      <t>NH4,N</t>
    </r>
    <r>
      <rPr>
        <sz val="14"/>
        <color indexed="8"/>
        <rFont val="Arial"/>
        <family val="2"/>
      </rPr>
      <t xml:space="preserve"> </t>
    </r>
    <r>
      <rPr>
        <sz val="14"/>
        <color indexed="8"/>
        <rFont val="Symbol"/>
        <family val="1"/>
        <charset val="2"/>
      </rPr>
      <t>»</t>
    </r>
    <r>
      <rPr>
        <sz val="14"/>
        <color indexed="8"/>
        <rFont val="Arial"/>
        <family val="2"/>
      </rPr>
      <t xml:space="preserve"> C</t>
    </r>
    <r>
      <rPr>
        <vertAlign val="subscript"/>
        <sz val="14"/>
        <color indexed="8"/>
        <rFont val="Arial"/>
        <family val="2"/>
      </rPr>
      <t>TKN,ZB</t>
    </r>
    <r>
      <rPr>
        <sz val="14"/>
        <color indexed="8"/>
        <rFont val="Arial"/>
        <family val="2"/>
      </rPr>
      <t xml:space="preserve"> = S</t>
    </r>
    <r>
      <rPr>
        <vertAlign val="subscript"/>
        <sz val="14"/>
        <color indexed="8"/>
        <rFont val="Arial"/>
        <family val="2"/>
      </rPr>
      <t>NH4-N, ZB</t>
    </r>
    <r>
      <rPr>
        <sz val="14"/>
        <color indexed="8"/>
        <rFont val="Arial"/>
        <family val="2"/>
      </rPr>
      <t xml:space="preserve"> + S</t>
    </r>
    <r>
      <rPr>
        <vertAlign val="subscript"/>
        <sz val="14"/>
        <color indexed="8"/>
        <rFont val="Arial"/>
        <family val="2"/>
      </rPr>
      <t>orgN,ZB</t>
    </r>
    <r>
      <rPr>
        <sz val="14"/>
        <color indexed="8"/>
        <rFont val="Arial"/>
        <family val="2"/>
      </rPr>
      <t xml:space="preserve"> + X</t>
    </r>
    <r>
      <rPr>
        <vertAlign val="subscript"/>
        <sz val="14"/>
        <color indexed="8"/>
        <rFont val="Arial"/>
        <family val="2"/>
      </rPr>
      <t>orgN,ZB</t>
    </r>
  </si>
  <si>
    <r>
      <t xml:space="preserve">...gewählt wird </t>
    </r>
    <r>
      <rPr>
        <b/>
        <sz val="14"/>
        <color theme="1"/>
        <rFont val="Arial"/>
        <family val="2"/>
      </rPr>
      <t>RF = 3</t>
    </r>
    <r>
      <rPr>
        <sz val="10"/>
        <color theme="1"/>
        <rFont val="Arial"/>
        <family val="2"/>
      </rPr>
      <t xml:space="preserve"> 
(RF &gt; 3 unwirtschaftlich, weil Gewinn beim Wirkungsgrad mit höheren RF immer kleiner wird)</t>
    </r>
  </si>
  <si>
    <r>
      <t>Die Bedingung B</t>
    </r>
    <r>
      <rPr>
        <vertAlign val="subscript"/>
        <sz val="10"/>
        <color theme="1"/>
        <rFont val="Arial"/>
        <family val="2"/>
      </rPr>
      <t>TS</t>
    </r>
    <r>
      <rPr>
        <sz val="10"/>
        <color theme="1"/>
        <rFont val="Arial"/>
        <family val="2"/>
      </rPr>
      <t xml:space="preserve"> ≤ 0,15 kg/kg*d für Belebungsanlagen mit Nitrifikation nach dem alten ATV-A 131 von 1981 (zitiert in [GUJER, 2007]) wird eingehalten.</t>
    </r>
  </si>
  <si>
    <r>
      <t xml:space="preserve">Maßgebende Konzentration des CSB im Zulauf zur Belebungsstufe
</t>
    </r>
    <r>
      <rPr>
        <sz val="10"/>
        <color theme="1"/>
        <rFont val="Arial"/>
        <family val="2"/>
      </rPr>
      <t>(= Total COD)</t>
    </r>
  </si>
  <si>
    <r>
      <t xml:space="preserve">CSB gelöste Fraktion, inert im Ablauf der Nachklärung
</t>
    </r>
    <r>
      <rPr>
        <sz val="10"/>
        <color theme="1"/>
        <rFont val="Arial"/>
        <family val="2"/>
      </rPr>
      <t>(= soluble non-degradable COD)</t>
    </r>
  </si>
  <si>
    <t>Täglicher Überschussschlammabzug</t>
  </si>
  <si>
    <r>
      <t>Q</t>
    </r>
    <r>
      <rPr>
        <b/>
        <vertAlign val="subscript"/>
        <sz val="10"/>
        <color indexed="8"/>
        <rFont val="Arial"/>
        <family val="2"/>
      </rPr>
      <t>ÜS,d</t>
    </r>
  </si>
  <si>
    <r>
      <t>Im ÜSS ist nach ATV-DVWK-M 368 bei 1h Aufenthaltszeit im VKB und t</t>
    </r>
    <r>
      <rPr>
        <vertAlign val="subscript"/>
        <sz val="10"/>
        <color theme="1"/>
        <rFont val="Arial"/>
        <family val="2"/>
      </rPr>
      <t>TS</t>
    </r>
    <r>
      <rPr>
        <sz val="10"/>
        <color theme="1"/>
        <rFont val="Arial"/>
        <family val="2"/>
      </rPr>
      <t xml:space="preserve"> = 10 d mit einem TS-Gehalt von 0,7%  bzw. mit einem Anfall von 5,3 l/(E*d) zu rechnen. </t>
    </r>
  </si>
  <si>
    <t>Berechnung auf der Grundlage des TS-Gehalts des ÜSS</t>
  </si>
  <si>
    <t>gewählt</t>
  </si>
  <si>
    <t>Trockensubstanzgehalt des Überschussschlammes</t>
  </si>
  <si>
    <r>
      <t>TS</t>
    </r>
    <r>
      <rPr>
        <b/>
        <vertAlign val="subscript"/>
        <sz val="10"/>
        <color theme="1"/>
        <rFont val="Arial"/>
        <family val="2"/>
      </rPr>
      <t>ÜS</t>
    </r>
  </si>
  <si>
    <t xml:space="preserve"> </t>
  </si>
  <si>
    <r>
      <t>Überprüfung auf Übereinstimmung mit TS</t>
    </r>
    <r>
      <rPr>
        <vertAlign val="subscript"/>
        <sz val="10"/>
        <color theme="1"/>
        <rFont val="Arial"/>
        <family val="2"/>
      </rPr>
      <t>RS</t>
    </r>
  </si>
  <si>
    <r>
      <t>t</t>
    </r>
    <r>
      <rPr>
        <b/>
        <vertAlign val="subscript"/>
        <sz val="10"/>
        <color indexed="8"/>
        <rFont val="Arial"/>
        <family val="2"/>
      </rPr>
      <t>TS</t>
    </r>
  </si>
  <si>
    <t>Anteil der Denitrifikationsstufe am Gesamtvolumen der Belebung</t>
  </si>
  <si>
    <r>
      <t>V</t>
    </r>
    <r>
      <rPr>
        <b/>
        <vertAlign val="subscript"/>
        <sz val="10"/>
        <color rgb="FF000000"/>
        <rFont val="Arial"/>
        <family val="2"/>
      </rPr>
      <t>D</t>
    </r>
    <r>
      <rPr>
        <b/>
        <sz val="10"/>
        <color rgb="FF000000"/>
        <rFont val="Arial"/>
        <family val="2"/>
      </rPr>
      <t>/V</t>
    </r>
    <r>
      <rPr>
        <b/>
        <vertAlign val="subscript"/>
        <sz val="10"/>
        <color rgb="FF000000"/>
        <rFont val="Arial"/>
        <family val="2"/>
      </rPr>
      <t>BB</t>
    </r>
  </si>
  <si>
    <t>Nachklärbeckenoberfläche</t>
  </si>
  <si>
    <r>
      <t>A</t>
    </r>
    <r>
      <rPr>
        <b/>
        <vertAlign val="subscript"/>
        <sz val="10"/>
        <color indexed="8"/>
        <rFont val="Arial"/>
        <family val="2"/>
      </rPr>
      <t>NB</t>
    </r>
  </si>
  <si>
    <t>Bemessungszufluss bei Regenwetter</t>
  </si>
  <si>
    <r>
      <t>Q</t>
    </r>
    <r>
      <rPr>
        <b/>
        <vertAlign val="subscript"/>
        <sz val="10"/>
        <color theme="1"/>
        <rFont val="Arial"/>
        <family val="2"/>
      </rPr>
      <t>m</t>
    </r>
  </si>
  <si>
    <t>Tägliche Schlammproduktion aus der Phosphorelimination</t>
  </si>
  <si>
    <r>
      <t>ÜS</t>
    </r>
    <r>
      <rPr>
        <b/>
        <vertAlign val="subscript"/>
        <sz val="10"/>
        <color indexed="8"/>
        <rFont val="Arial"/>
        <family val="2"/>
      </rPr>
      <t>d,P</t>
    </r>
  </si>
  <si>
    <t>Dichtestrom- und Speicherzone</t>
  </si>
  <si>
    <r>
      <t>h</t>
    </r>
    <r>
      <rPr>
        <b/>
        <vertAlign val="subscript"/>
        <sz val="10"/>
        <color indexed="8"/>
        <rFont val="Arial"/>
        <family val="2"/>
      </rPr>
      <t>3</t>
    </r>
    <r>
      <rPr>
        <sz val="10"/>
        <color theme="1"/>
        <rFont val="Arial"/>
        <family val="2"/>
      </rPr>
      <t/>
    </r>
  </si>
  <si>
    <t>Eindick- und Räumzone</t>
  </si>
  <si>
    <r>
      <t>h</t>
    </r>
    <r>
      <rPr>
        <b/>
        <vertAlign val="subscript"/>
        <sz val="10"/>
        <color indexed="8"/>
        <rFont val="Arial"/>
        <family val="2"/>
      </rPr>
      <t>4</t>
    </r>
    <r>
      <rPr>
        <sz val="10"/>
        <color theme="1"/>
        <rFont val="Arial"/>
        <family val="2"/>
      </rPr>
      <t/>
    </r>
  </si>
  <si>
    <t>Bemessungsschlammalter 
(Schlammalter, das der Bemessung zu Grunde gelegt wird)</t>
  </si>
  <si>
    <r>
      <t xml:space="preserve">Aerobes Schlammalter, gewählt
</t>
    </r>
    <r>
      <rPr>
        <sz val="10"/>
        <color theme="1"/>
        <rFont val="Arial"/>
        <family val="2"/>
      </rPr>
      <t>(Aerobes Schlammalter, das der Bemessung für Nitrifikation zu Grunde gelegt wird)</t>
    </r>
  </si>
  <si>
    <t>Aerobes Schlammalter, untere Bemessungsgrenze
gemäß Tabelle</t>
  </si>
  <si>
    <t>Aerobes Schlammalter, untere Bemessungsgrenze
gemäß Formel</t>
  </si>
  <si>
    <r>
      <t>t</t>
    </r>
    <r>
      <rPr>
        <b/>
        <vertAlign val="subscript"/>
        <sz val="10"/>
        <color theme="1"/>
        <rFont val="Arial"/>
        <family val="2"/>
      </rPr>
      <t>TS</t>
    </r>
    <r>
      <rPr>
        <b/>
        <sz val="10"/>
        <color theme="1"/>
        <rFont val="Arial"/>
        <family val="2"/>
      </rPr>
      <t/>
    </r>
  </si>
  <si>
    <r>
      <t>Die BSB-Zulauffracht der KA Gevelsberg liegt mit 5.400 kg BSB/d zwischen den beiden angegebenen Reinigungszielen der Tab. 2, allerdings näher an der Größe der Zulauffracht, die für den rechten Teil der Tabelle gilt.
Deshalb kann aus der Tabelle für V</t>
    </r>
    <r>
      <rPr>
        <vertAlign val="subscript"/>
        <sz val="10"/>
        <rFont val="Arial"/>
        <family val="2"/>
      </rPr>
      <t>D</t>
    </r>
    <r>
      <rPr>
        <sz val="10"/>
        <rFont val="Arial"/>
        <family val="2"/>
      </rPr>
      <t>/V</t>
    </r>
    <r>
      <rPr>
        <vertAlign val="subscript"/>
        <sz val="10"/>
        <rFont val="Arial"/>
        <family val="2"/>
      </rPr>
      <t>BB</t>
    </r>
    <r>
      <rPr>
        <sz val="10"/>
        <rFont val="Arial"/>
        <family val="2"/>
      </rPr>
      <t xml:space="preserve"> = 0,4 ein min. t</t>
    </r>
    <r>
      <rPr>
        <vertAlign val="subscript"/>
        <sz val="10"/>
        <rFont val="Arial"/>
        <family val="2"/>
      </rPr>
      <t>TS,aerob,Bem</t>
    </r>
    <r>
      <rPr>
        <sz val="10"/>
        <rFont val="Arial"/>
        <family val="2"/>
      </rPr>
      <t xml:space="preserve"> von etwa 12 ... 13 d abgelesen werden. Für V</t>
    </r>
    <r>
      <rPr>
        <vertAlign val="subscript"/>
        <sz val="10"/>
        <rFont val="Arial"/>
        <family val="2"/>
      </rPr>
      <t>D</t>
    </r>
    <r>
      <rPr>
        <sz val="10"/>
        <rFont val="Arial"/>
        <family val="2"/>
      </rPr>
      <t>/V</t>
    </r>
    <r>
      <rPr>
        <vertAlign val="subscript"/>
        <sz val="10"/>
        <rFont val="Arial"/>
        <family val="2"/>
      </rPr>
      <t>BB</t>
    </r>
    <r>
      <rPr>
        <sz val="10"/>
        <rFont val="Arial"/>
        <family val="2"/>
      </rPr>
      <t xml:space="preserve"> = 0,6 ergibt sich ca. 14.
KA Gevelsberg je Straße:
     N-Zone = 2 x 2.400 m³ = 4.800 m³ 
     DN-Zone = 4 x 1.175 m³ = 4.700 m³
     N/DN fakultativ = 2 x 1.175 m³ = 2.350 m³
Ergo:</t>
    </r>
    <r>
      <rPr>
        <b/>
        <sz val="10"/>
        <rFont val="Arial"/>
        <family val="2"/>
      </rPr>
      <t xml:space="preserve"> V</t>
    </r>
    <r>
      <rPr>
        <b/>
        <vertAlign val="subscript"/>
        <sz val="10"/>
        <rFont val="Arial"/>
        <family val="2"/>
      </rPr>
      <t>D</t>
    </r>
    <r>
      <rPr>
        <b/>
        <sz val="10"/>
        <rFont val="Arial"/>
        <family val="2"/>
      </rPr>
      <t>/V</t>
    </r>
    <r>
      <rPr>
        <b/>
        <vertAlign val="subscript"/>
        <sz val="10"/>
        <rFont val="Arial"/>
        <family val="2"/>
      </rPr>
      <t>BB</t>
    </r>
    <r>
      <rPr>
        <b/>
        <sz val="10"/>
        <rFont val="Arial"/>
        <family val="2"/>
      </rPr>
      <t xml:space="preserve"> minimal = 4.700 / 11.850 = 40%,</t>
    </r>
    <r>
      <rPr>
        <sz val="10"/>
        <rFont val="Arial"/>
        <family val="2"/>
      </rPr>
      <t xml:space="preserve"> 
           </t>
    </r>
    <r>
      <rPr>
        <b/>
        <sz val="10"/>
        <rFont val="Arial"/>
        <family val="2"/>
      </rPr>
      <t>V</t>
    </r>
    <r>
      <rPr>
        <b/>
        <vertAlign val="subscript"/>
        <sz val="10"/>
        <rFont val="Arial"/>
        <family val="2"/>
      </rPr>
      <t>D</t>
    </r>
    <r>
      <rPr>
        <b/>
        <sz val="10"/>
        <rFont val="Arial"/>
        <family val="2"/>
      </rPr>
      <t>/V</t>
    </r>
    <r>
      <rPr>
        <b/>
        <vertAlign val="subscript"/>
        <sz val="10"/>
        <rFont val="Arial"/>
        <family val="2"/>
      </rPr>
      <t>BB</t>
    </r>
    <r>
      <rPr>
        <b/>
        <sz val="10"/>
        <rFont val="Arial"/>
        <family val="2"/>
      </rPr>
      <t xml:space="preserve"> maximal = (4.700 + 2.350) / 11.850 = 60%</t>
    </r>
    <r>
      <rPr>
        <sz val="10"/>
        <rFont val="Arial"/>
        <family val="2"/>
      </rPr>
      <t xml:space="preserve">
Das Schlammalter muss umso höher sein, je höher der Anteil des Beckenvolumens für die Denitrifikation und je tiefer die Bemessungstemperatur gewählt wird!</t>
    </r>
  </si>
  <si>
    <t>Phosphor, der im Wege der biologischen Phosphateliminierung entfernt wird</t>
  </si>
  <si>
    <r>
      <t>X</t>
    </r>
    <r>
      <rPr>
        <b/>
        <vertAlign val="subscript"/>
        <sz val="10"/>
        <color theme="1"/>
        <rFont val="Arial"/>
        <family val="2"/>
      </rPr>
      <t>P,BioP</t>
    </r>
  </si>
  <si>
    <t>(bei vorgeschaltetem anaeroben Becken)</t>
  </si>
  <si>
    <t>Faktor gewählt zu 0,0125 (Mittelwert des angegebenen Schwankungsbereichs)</t>
  </si>
  <si>
    <t xml:space="preserve">Fällmittelbedarf </t>
  </si>
  <si>
    <r>
      <t>Fe</t>
    </r>
    <r>
      <rPr>
        <b/>
        <vertAlign val="subscript"/>
        <sz val="10"/>
        <color theme="1"/>
        <rFont val="Arial"/>
        <family val="2"/>
      </rPr>
      <t>Fäll,P</t>
    </r>
  </si>
  <si>
    <t>KA Gevelsberg: Phosphatfällung mit Eisen-(III)-Salzen</t>
  </si>
  <si>
    <t>Das gleiche Ergebnis für das minimal erforderliche Volumen des Belebungsbeckens sollte sich auch mit dieser Formel errechnen lassen.</t>
  </si>
  <si>
    <r>
      <t>Die Volumina eines aeroben Selektors (V</t>
    </r>
    <r>
      <rPr>
        <vertAlign val="subscript"/>
        <sz val="10"/>
        <color theme="1"/>
        <rFont val="Arial"/>
        <family val="2"/>
      </rPr>
      <t>Sel</t>
    </r>
    <r>
      <rPr>
        <sz val="10"/>
        <color theme="1"/>
        <rFont val="Arial"/>
        <family val="2"/>
      </rPr>
      <t>) oder eines anaeroben Mischbeckens zur biologischen Phosphorelimination (V</t>
    </r>
    <r>
      <rPr>
        <vertAlign val="subscript"/>
        <sz val="10"/>
        <color theme="1"/>
        <rFont val="Arial"/>
        <family val="2"/>
      </rPr>
      <t>Bio-P</t>
    </r>
    <r>
      <rPr>
        <sz val="10"/>
        <color theme="1"/>
        <rFont val="Arial"/>
        <family val="2"/>
      </rPr>
      <t>) werden nicht dem Belebungsbecken (V</t>
    </r>
    <r>
      <rPr>
        <vertAlign val="subscript"/>
        <sz val="10"/>
        <color theme="1"/>
        <rFont val="Arial"/>
        <family val="2"/>
      </rPr>
      <t>BB</t>
    </r>
    <r>
      <rPr>
        <sz val="10"/>
        <color theme="1"/>
        <rFont val="Arial"/>
        <family val="2"/>
      </rPr>
      <t>) zugerechnet.
In Anlagen, die nur auf Kohlenstoffelimination ausgerichtet sind, kann das Volumen eines aeroben Selektors als Teil des Belebungsbeckens betrachtet werden.</t>
    </r>
  </si>
  <si>
    <t>anorganischer Stickstoff im Ablauf der Nachklärung</t>
  </si>
  <si>
    <r>
      <t>S</t>
    </r>
    <r>
      <rPr>
        <b/>
        <vertAlign val="subscript"/>
        <sz val="10"/>
        <color theme="1"/>
        <rFont val="Arial"/>
        <family val="2"/>
      </rPr>
      <t>NO3,N</t>
    </r>
  </si>
  <si>
    <t>Wirkungsgrad der Denitrifikation</t>
  </si>
  <si>
    <r>
      <rPr>
        <b/>
        <sz val="16"/>
        <color theme="1"/>
        <rFont val="Symbol"/>
        <family val="1"/>
        <charset val="2"/>
      </rPr>
      <t>h</t>
    </r>
    <r>
      <rPr>
        <b/>
        <vertAlign val="subscript"/>
        <sz val="10"/>
        <color theme="1"/>
        <rFont val="Arial"/>
        <family val="2"/>
      </rPr>
      <t>D</t>
    </r>
  </si>
  <si>
    <r>
      <t xml:space="preserve">Zum Vergleich: Bei RF = 4 wird </t>
    </r>
    <r>
      <rPr>
        <sz val="18"/>
        <color theme="1"/>
        <rFont val="Symbol"/>
        <family val="1"/>
        <charset val="2"/>
      </rPr>
      <t>h</t>
    </r>
    <r>
      <rPr>
        <vertAlign val="subscript"/>
        <sz val="10"/>
        <color theme="1"/>
        <rFont val="Arial"/>
        <family val="2"/>
      </rPr>
      <t>D</t>
    </r>
    <r>
      <rPr>
        <sz val="10"/>
        <color theme="1"/>
        <rFont val="Arial"/>
        <family val="2"/>
      </rPr>
      <t xml:space="preserve"> = 80%</t>
    </r>
  </si>
  <si>
    <t>Aufenthaltszeit (Durchflusszeit)</t>
  </si>
  <si>
    <r>
      <t>t</t>
    </r>
    <r>
      <rPr>
        <b/>
        <vertAlign val="subscript"/>
        <sz val="10"/>
        <color theme="1"/>
        <rFont val="Arial"/>
        <family val="2"/>
      </rPr>
      <t>R</t>
    </r>
  </si>
  <si>
    <r>
      <t>Empfohlene Durchflusszeit in der Vorklärung bei Q</t>
    </r>
    <r>
      <rPr>
        <vertAlign val="subscript"/>
        <sz val="10"/>
        <color theme="1"/>
        <rFont val="Arial"/>
        <family val="2"/>
      </rPr>
      <t>t</t>
    </r>
    <r>
      <rPr>
        <sz val="10"/>
        <color theme="1"/>
        <rFont val="Arial"/>
        <family val="2"/>
      </rPr>
      <t>: 0,5 … 1 h
(gem. A 131, Tab. 1)</t>
    </r>
  </si>
  <si>
    <r>
      <t>A</t>
    </r>
    <r>
      <rPr>
        <b/>
        <vertAlign val="subscript"/>
        <sz val="10"/>
        <color theme="1"/>
        <rFont val="Arial"/>
        <family val="2"/>
      </rPr>
      <t>vorh.</t>
    </r>
  </si>
  <si>
    <r>
      <t>h</t>
    </r>
    <r>
      <rPr>
        <b/>
        <vertAlign val="subscript"/>
        <sz val="10"/>
        <color theme="1"/>
        <rFont val="Arial"/>
        <family val="2"/>
      </rPr>
      <t>vorh.</t>
    </r>
  </si>
  <si>
    <t>h/l</t>
  </si>
  <si>
    <t>Verhältnis Verhältnis Beckentiefe / Beckenlänge</t>
  </si>
  <si>
    <t>Verhältnis Beckenbreite / Beckenlänge</t>
  </si>
  <si>
    <t>b/l</t>
  </si>
  <si>
    <t>Sollwert: 1:3 bis 1:6, d. h. 0,33 … 0,166</t>
  </si>
  <si>
    <t>Sollwert: 1:10 bis 1:25, d. h. 0,1 … 0,04</t>
  </si>
  <si>
    <r>
      <t xml:space="preserve">CSB gelöste Fraktion, inert
</t>
    </r>
    <r>
      <rPr>
        <sz val="10"/>
        <color theme="1"/>
        <rFont val="Arial"/>
        <family val="2"/>
      </rPr>
      <t>(= soluble non-degradable COD)</t>
    </r>
  </si>
  <si>
    <r>
      <t>S</t>
    </r>
    <r>
      <rPr>
        <b/>
        <vertAlign val="subscript"/>
        <sz val="10"/>
        <color indexed="8"/>
        <rFont val="Arial"/>
        <family val="2"/>
      </rPr>
      <t>CSB,inert,ZB</t>
    </r>
  </si>
  <si>
    <t>Rechenergebnis
bzw. gewählt</t>
  </si>
  <si>
    <r>
      <t>CSB</t>
    </r>
    <r>
      <rPr>
        <b/>
        <vertAlign val="subscript"/>
        <sz val="10"/>
        <color indexed="8"/>
        <rFont val="Arial"/>
        <family val="2"/>
      </rPr>
      <t>gelöst</t>
    </r>
    <r>
      <rPr>
        <b/>
        <sz val="10"/>
        <color indexed="8"/>
        <rFont val="Arial"/>
        <family val="2"/>
      </rPr>
      <t xml:space="preserve"> im Zufluss zur Belebungsstufe 
</t>
    </r>
    <r>
      <rPr>
        <sz val="10"/>
        <color indexed="8"/>
        <rFont val="Arial"/>
        <family val="2"/>
      </rPr>
      <t xml:space="preserve">(= CSB des Filtrates mit 0,45 μm Membranfilter, 
</t>
    </r>
    <r>
      <rPr>
        <sz val="10"/>
        <color theme="1"/>
        <rFont val="Arial"/>
        <family val="2"/>
      </rPr>
      <t>= soluble COD)</t>
    </r>
  </si>
  <si>
    <t>Reihenfolge der Rechen-schritte</t>
  </si>
  <si>
    <r>
      <t>S</t>
    </r>
    <r>
      <rPr>
        <vertAlign val="subscript"/>
        <sz val="14"/>
        <color indexed="8"/>
        <rFont val="Arial"/>
        <family val="2"/>
      </rPr>
      <t>CSB,abb,ZB</t>
    </r>
    <r>
      <rPr>
        <sz val="14"/>
        <color indexed="8"/>
        <rFont val="Arial"/>
        <family val="2"/>
      </rPr>
      <t xml:space="preserve"> = S</t>
    </r>
    <r>
      <rPr>
        <vertAlign val="subscript"/>
        <sz val="14"/>
        <color indexed="8"/>
        <rFont val="Arial"/>
        <family val="2"/>
      </rPr>
      <t>CSB,ZB</t>
    </r>
    <r>
      <rPr>
        <sz val="14"/>
        <color indexed="8"/>
        <rFont val="Arial"/>
        <family val="2"/>
      </rPr>
      <t xml:space="preserve"> - S</t>
    </r>
    <r>
      <rPr>
        <vertAlign val="subscript"/>
        <sz val="14"/>
        <color indexed="8"/>
        <rFont val="Arial"/>
        <family val="2"/>
      </rPr>
      <t>CSB,inert,ZB</t>
    </r>
  </si>
  <si>
    <r>
      <t>X</t>
    </r>
    <r>
      <rPr>
        <vertAlign val="subscript"/>
        <sz val="14"/>
        <color indexed="8"/>
        <rFont val="Arial"/>
        <family val="2"/>
      </rPr>
      <t>orgTS,ZB</t>
    </r>
    <r>
      <rPr>
        <sz val="14"/>
        <color indexed="8"/>
        <rFont val="Arial"/>
        <family val="2"/>
      </rPr>
      <t xml:space="preserve"> = X</t>
    </r>
    <r>
      <rPr>
        <vertAlign val="subscript"/>
        <sz val="14"/>
        <color indexed="8"/>
        <rFont val="Arial"/>
        <family val="2"/>
      </rPr>
      <t>TS,ZB</t>
    </r>
    <r>
      <rPr>
        <sz val="14"/>
        <color indexed="8"/>
        <rFont val="Arial"/>
        <family val="2"/>
      </rPr>
      <t xml:space="preserve"> - X</t>
    </r>
    <r>
      <rPr>
        <vertAlign val="subscript"/>
        <sz val="14"/>
        <color indexed="8"/>
        <rFont val="Arial"/>
        <family val="2"/>
      </rPr>
      <t>anorgTS,ZB</t>
    </r>
  </si>
  <si>
    <r>
      <t>C</t>
    </r>
    <r>
      <rPr>
        <vertAlign val="subscript"/>
        <sz val="14"/>
        <color indexed="8"/>
        <rFont val="Arial"/>
        <family val="2"/>
      </rPr>
      <t>CSB,ZB</t>
    </r>
    <r>
      <rPr>
        <sz val="14"/>
        <color indexed="8"/>
        <rFont val="Arial"/>
        <family val="2"/>
      </rPr>
      <t xml:space="preserve"> = (S</t>
    </r>
    <r>
      <rPr>
        <vertAlign val="subscript"/>
        <sz val="14"/>
        <color indexed="8"/>
        <rFont val="Arial"/>
        <family val="2"/>
      </rPr>
      <t>CSB,abb,ZB</t>
    </r>
    <r>
      <rPr>
        <sz val="14"/>
        <color indexed="8"/>
        <rFont val="Arial"/>
        <family val="2"/>
      </rPr>
      <t xml:space="preserve"> + S</t>
    </r>
    <r>
      <rPr>
        <vertAlign val="subscript"/>
        <sz val="14"/>
        <color indexed="8"/>
        <rFont val="Arial"/>
        <family val="2"/>
      </rPr>
      <t>CSB,inert,ZB</t>
    </r>
    <r>
      <rPr>
        <sz val="14"/>
        <color indexed="8"/>
        <rFont val="Arial"/>
        <family val="2"/>
      </rPr>
      <t>) + (X</t>
    </r>
    <r>
      <rPr>
        <vertAlign val="subscript"/>
        <sz val="14"/>
        <color indexed="8"/>
        <rFont val="Arial"/>
        <family val="2"/>
      </rPr>
      <t>CSB,abb,ZB</t>
    </r>
    <r>
      <rPr>
        <sz val="14"/>
        <color indexed="8"/>
        <rFont val="Arial"/>
        <family val="2"/>
      </rPr>
      <t xml:space="preserve"> + X</t>
    </r>
    <r>
      <rPr>
        <vertAlign val="subscript"/>
        <sz val="14"/>
        <color indexed="8"/>
        <rFont val="Arial"/>
        <family val="2"/>
      </rPr>
      <t>CSB,inert,ZB</t>
    </r>
    <r>
      <rPr>
        <sz val="14"/>
        <color indexed="8"/>
        <rFont val="Arial"/>
        <family val="2"/>
      </rPr>
      <t>)</t>
    </r>
  </si>
  <si>
    <r>
      <t xml:space="preserve">"Jede der beiden Fraktionen </t>
    </r>
    <r>
      <rPr>
        <i/>
        <sz val="10"/>
        <color theme="1"/>
        <rFont val="Arial"/>
        <family val="2"/>
      </rPr>
      <t>(des C</t>
    </r>
    <r>
      <rPr>
        <i/>
        <vertAlign val="subscript"/>
        <sz val="10"/>
        <color theme="1"/>
        <rFont val="Arial"/>
        <family val="2"/>
      </rPr>
      <t>CSB,ZB</t>
    </r>
    <r>
      <rPr>
        <i/>
        <sz val="10"/>
        <color theme="1"/>
        <rFont val="Arial"/>
        <family val="2"/>
      </rPr>
      <t>)</t>
    </r>
    <r>
      <rPr>
        <sz val="10"/>
        <color theme="1"/>
        <rFont val="Arial"/>
        <family val="2"/>
      </rPr>
      <t xml:space="preserve"> besteht aus einer abbaubaren und einer inerten Fraktion."</t>
    </r>
  </si>
  <si>
    <r>
      <t>S</t>
    </r>
    <r>
      <rPr>
        <vertAlign val="subscript"/>
        <sz val="14"/>
        <color indexed="8"/>
        <rFont val="Arial"/>
        <family val="2"/>
      </rPr>
      <t>CSB,ZB</t>
    </r>
    <r>
      <rPr>
        <sz val="14"/>
        <color indexed="8"/>
        <rFont val="Arial"/>
        <family val="2"/>
      </rPr>
      <t xml:space="preserve"> = C</t>
    </r>
    <r>
      <rPr>
        <vertAlign val="subscript"/>
        <sz val="14"/>
        <color indexed="8"/>
        <rFont val="Arial"/>
        <family val="2"/>
      </rPr>
      <t>CSB,ZB</t>
    </r>
    <r>
      <rPr>
        <sz val="14"/>
        <color indexed="8"/>
        <rFont val="Arial"/>
        <family val="2"/>
      </rPr>
      <t xml:space="preserve"> - X</t>
    </r>
    <r>
      <rPr>
        <vertAlign val="subscript"/>
        <sz val="14"/>
        <color indexed="8"/>
        <rFont val="Arial"/>
        <family val="2"/>
      </rPr>
      <t>CSB,ZB</t>
    </r>
    <r>
      <rPr>
        <sz val="14"/>
        <color indexed="8"/>
        <rFont val="Arial"/>
        <family val="2"/>
      </rPr>
      <t/>
    </r>
  </si>
  <si>
    <r>
      <t>"Der CSB im Zufluss zu einer biologischen Anlage lässt sich in die gelöste und die partikuläre Fraktion unterteilen. Dabei ist zu beachten, dass alle Konzentrationen auf den Abwasserzufluss bezogen sind…"
"Jede der beiden Fraktionen (des C</t>
    </r>
    <r>
      <rPr>
        <vertAlign val="subscript"/>
        <sz val="10"/>
        <color theme="1"/>
        <rFont val="Arial"/>
        <family val="2"/>
      </rPr>
      <t>CSB,ZB</t>
    </r>
    <r>
      <rPr>
        <sz val="10"/>
        <color theme="1"/>
        <rFont val="Arial"/>
        <family val="2"/>
      </rPr>
      <t>) besteht aus einer abbaubaren und einer inerten Fraktion."</t>
    </r>
  </si>
  <si>
    <r>
      <t>X</t>
    </r>
    <r>
      <rPr>
        <vertAlign val="subscript"/>
        <sz val="14"/>
        <color indexed="8"/>
        <rFont val="Arial"/>
        <family val="2"/>
      </rPr>
      <t>CSB,abb,ZB</t>
    </r>
    <r>
      <rPr>
        <sz val="14"/>
        <color indexed="8"/>
        <rFont val="Arial"/>
        <family val="2"/>
      </rPr>
      <t xml:space="preserve"> = X</t>
    </r>
    <r>
      <rPr>
        <vertAlign val="subscript"/>
        <sz val="14"/>
        <color indexed="8"/>
        <rFont val="Arial"/>
        <family val="2"/>
      </rPr>
      <t>CSB,ZB</t>
    </r>
    <r>
      <rPr>
        <sz val="14"/>
        <color indexed="8"/>
        <rFont val="Arial"/>
        <family val="2"/>
      </rPr>
      <t xml:space="preserve"> - X</t>
    </r>
    <r>
      <rPr>
        <vertAlign val="subscript"/>
        <sz val="14"/>
        <color indexed="8"/>
        <rFont val="Arial"/>
        <family val="2"/>
      </rPr>
      <t>CSB,inert,ZB</t>
    </r>
  </si>
  <si>
    <r>
      <t>Dieser Wert korrespondiert mit dem Sauerstoffverbrauch (OV): OV ist i. d. R. etwas höher als S</t>
    </r>
    <r>
      <rPr>
        <vertAlign val="subscript"/>
        <sz val="10"/>
        <color theme="1"/>
        <rFont val="Arial"/>
        <family val="2"/>
      </rPr>
      <t>CSB,abb,ZB</t>
    </r>
    <r>
      <rPr>
        <sz val="10"/>
        <color theme="1"/>
        <rFont val="Arial"/>
        <family val="2"/>
      </rPr>
      <t>.</t>
    </r>
  </si>
  <si>
    <r>
      <t xml:space="preserve">CSB, partikuläre Fraktion 
</t>
    </r>
    <r>
      <rPr>
        <sz val="10"/>
        <color theme="1"/>
        <rFont val="Arial"/>
        <family val="2"/>
      </rPr>
      <t>(= CSB der abfiltrierbaren Stoffe</t>
    </r>
    <r>
      <rPr>
        <b/>
        <sz val="10"/>
        <color theme="1"/>
        <rFont val="Arial"/>
        <family val="2"/>
      </rPr>
      <t xml:space="preserve">
</t>
    </r>
    <r>
      <rPr>
        <sz val="10"/>
        <color theme="1"/>
        <rFont val="Arial"/>
        <family val="2"/>
      </rPr>
      <t>= particulate COD)</t>
    </r>
  </si>
  <si>
    <r>
      <t xml:space="preserve">org. Anteil der abfiltrierbaren Stoffe 
</t>
    </r>
    <r>
      <rPr>
        <sz val="10"/>
        <color theme="1"/>
        <rFont val="Arial"/>
        <family val="2"/>
      </rPr>
      <t>(= Glühverlust der abfiltrierbaren Stoffe = org. TS</t>
    </r>
    <r>
      <rPr>
        <b/>
        <sz val="10"/>
        <color theme="1"/>
        <rFont val="Arial"/>
        <family val="2"/>
      </rPr>
      <t xml:space="preserve">
</t>
    </r>
    <r>
      <rPr>
        <sz val="10"/>
        <color theme="1"/>
        <rFont val="Arial"/>
        <family val="2"/>
      </rPr>
      <t>= volatile solids)</t>
    </r>
  </si>
  <si>
    <r>
      <t xml:space="preserve">abbaubarer CSB im Zufluss zur Belebungsstufe
</t>
    </r>
    <r>
      <rPr>
        <sz val="10"/>
        <color theme="1"/>
        <rFont val="Arial"/>
        <family val="2"/>
      </rPr>
      <t>(= BOD)</t>
    </r>
  </si>
  <si>
    <t>Sauerstoff, der für Atmungsvorgänge verbraucht wird</t>
  </si>
  <si>
    <t>OV</t>
  </si>
  <si>
    <r>
      <t>OV = C</t>
    </r>
    <r>
      <rPr>
        <vertAlign val="subscript"/>
        <sz val="14"/>
        <color indexed="8"/>
        <rFont val="Arial"/>
        <family val="2"/>
      </rPr>
      <t>CSB,ZB</t>
    </r>
    <r>
      <rPr>
        <sz val="14"/>
        <color indexed="8"/>
        <rFont val="Arial"/>
        <family val="2"/>
      </rPr>
      <t xml:space="preserve"> - (S</t>
    </r>
    <r>
      <rPr>
        <vertAlign val="subscript"/>
        <sz val="14"/>
        <color indexed="8"/>
        <rFont val="Arial"/>
        <family val="2"/>
      </rPr>
      <t>CSB,inert,ZB</t>
    </r>
    <r>
      <rPr>
        <sz val="14"/>
        <color indexed="8"/>
        <rFont val="Arial"/>
        <family val="2"/>
      </rPr>
      <t xml:space="preserve"> + X</t>
    </r>
    <r>
      <rPr>
        <vertAlign val="subscript"/>
        <sz val="14"/>
        <color indexed="8"/>
        <rFont val="Arial"/>
        <family val="2"/>
      </rPr>
      <t>CSB,ÜS</t>
    </r>
    <r>
      <rPr>
        <sz val="14"/>
        <color indexed="8"/>
        <rFont val="Arial"/>
        <family val="2"/>
      </rPr>
      <t>)</t>
    </r>
  </si>
  <si>
    <t>Berechnung mit der spezifischen Schlammproduktion gem. Tabelle 5</t>
  </si>
  <si>
    <t>Berechnung gemäß Formel, Werte plausibel</t>
  </si>
  <si>
    <r>
      <t>X</t>
    </r>
    <r>
      <rPr>
        <b/>
        <vertAlign val="subscript"/>
        <sz val="10"/>
        <color indexed="8"/>
        <rFont val="Arial"/>
        <family val="2"/>
      </rPr>
      <t>CSB,BM</t>
    </r>
  </si>
  <si>
    <r>
      <t>"Der Ertragsfaktor wird mit Y = 0,67 g CSB/g CSB</t>
    </r>
    <r>
      <rPr>
        <vertAlign val="subscript"/>
        <sz val="10"/>
        <color theme="1"/>
        <rFont val="Arial"/>
        <family val="2"/>
      </rPr>
      <t>abb</t>
    </r>
    <r>
      <rPr>
        <sz val="10"/>
        <color theme="1"/>
        <rFont val="Arial"/>
        <family val="2"/>
      </rPr>
      <t xml:space="preserve"> und der Zerfallskoeffizient mit b = 0,17 d-1 bei 15° C, beide analog wie im Activated Sludge Model No. 1 ... angenommen."</t>
    </r>
  </si>
  <si>
    <t>Nitrat im Ablauf des NKB</t>
  </si>
  <si>
    <r>
      <t>Die zugrundezulegende Ablaufkonzentration des Nitrates ist als Tagesdurchschnitt einzusetzen. Wenn, wie in Deutschland, die Überwachung an Stichproben erfolgt, ist sie deutlich geringer als der Überwachungswert (SanorgN.ÜW) vorzugeben. Zweckmäßig ist 
S</t>
    </r>
    <r>
      <rPr>
        <vertAlign val="subscript"/>
        <sz val="10"/>
        <rFont val="Arial"/>
        <family val="2"/>
      </rPr>
      <t>NO3,AN</t>
    </r>
    <r>
      <rPr>
        <sz val="10"/>
        <rFont val="Arial"/>
        <family val="2"/>
      </rPr>
      <t xml:space="preserve"> = 0,8 bis 0,6 · S</t>
    </r>
    <r>
      <rPr>
        <vertAlign val="subscript"/>
        <sz val="10"/>
        <rFont val="Arial"/>
        <family val="2"/>
      </rPr>
      <t>anorgN,ÜW</t>
    </r>
    <r>
      <rPr>
        <sz val="10"/>
        <rFont val="Arial"/>
        <family val="2"/>
      </rPr>
      <t xml:space="preserve"> 
wobei der kleinere Wert für Anlagen mit hohen Schwankungen der Zulauffrachten gilt.</t>
    </r>
  </si>
  <si>
    <r>
      <t>S</t>
    </r>
    <r>
      <rPr>
        <b/>
        <vertAlign val="subscript"/>
        <sz val="10"/>
        <color theme="1"/>
        <rFont val="Arial"/>
        <family val="2"/>
      </rPr>
      <t>anorgN,ÜW</t>
    </r>
  </si>
  <si>
    <r>
      <t>C</t>
    </r>
    <r>
      <rPr>
        <b/>
        <vertAlign val="subscript"/>
        <sz val="10"/>
        <color theme="1"/>
        <rFont val="Arial"/>
        <family val="2"/>
      </rPr>
      <t>P,ÜW</t>
    </r>
  </si>
  <si>
    <r>
      <t>C</t>
    </r>
    <r>
      <rPr>
        <b/>
        <vertAlign val="subscript"/>
        <sz val="10"/>
        <color theme="1"/>
        <rFont val="Arial"/>
        <family val="2"/>
      </rPr>
      <t>CSB,ÜW</t>
    </r>
  </si>
  <si>
    <t>siehe "4 N-Bilanz"</t>
  </si>
  <si>
    <t>Täglicher Sauerstoffverbrauch für Kohlenstoffelimination</t>
  </si>
  <si>
    <t>Täglicher Sauerstoffverbrauch für Nitrifikation</t>
  </si>
  <si>
    <t>Vom endogenen Zerfall der Biomasse verbliebene inerte Feststoffe, die mit dem Überschussschlamm ausgekreist werden,
als CSB gemessen</t>
  </si>
  <si>
    <t>Gebildete Biomasse, die mit dem Überschussschlamm ausgekreist wird, 
als CSB gemessen</t>
  </si>
  <si>
    <t>Als CSB gemessener Überschussschlamm</t>
  </si>
  <si>
    <r>
      <t>Sauerstoffverbrauch für die Tagesspitze
berechnet für max. f</t>
    </r>
    <r>
      <rPr>
        <b/>
        <vertAlign val="subscript"/>
        <sz val="10"/>
        <color indexed="8"/>
        <rFont val="Arial"/>
        <family val="2"/>
      </rPr>
      <t>N</t>
    </r>
  </si>
  <si>
    <r>
      <t>"Da die Sauerstoffverbrauchsspitze für die Nitrifikation in der Regel vor der Sauerstoffverbrauchsspitze für die Kohlenstoffelimination auftritt, sind zwei Rechengänge, einmal mit f</t>
    </r>
    <r>
      <rPr>
        <vertAlign val="subscript"/>
        <sz val="10"/>
        <color indexed="8"/>
        <rFont val="Arial"/>
        <family val="2"/>
      </rPr>
      <t>C</t>
    </r>
    <r>
      <rPr>
        <sz val="10"/>
        <color theme="1"/>
        <rFont val="Arial"/>
        <family val="2"/>
      </rPr>
      <t xml:space="preserve"> = 1 und dem ermittelten/angenommenen f</t>
    </r>
    <r>
      <rPr>
        <vertAlign val="subscript"/>
        <sz val="10"/>
        <color indexed="8"/>
        <rFont val="Arial"/>
        <family val="2"/>
      </rPr>
      <t>N</t>
    </r>
    <r>
      <rPr>
        <sz val="10"/>
        <color theme="1"/>
        <rFont val="Arial"/>
        <family val="2"/>
      </rPr>
      <t>-Wert und einmal mit f</t>
    </r>
    <r>
      <rPr>
        <vertAlign val="subscript"/>
        <sz val="10"/>
        <color indexed="8"/>
        <rFont val="Arial"/>
        <family val="2"/>
      </rPr>
      <t>N</t>
    </r>
    <r>
      <rPr>
        <sz val="10"/>
        <color theme="1"/>
        <rFont val="Arial"/>
        <family val="2"/>
      </rPr>
      <t xml:space="preserve"> = 1 und dem angenommenen(ermittelten) f</t>
    </r>
    <r>
      <rPr>
        <vertAlign val="subscript"/>
        <sz val="10"/>
        <color indexed="8"/>
        <rFont val="Arial"/>
        <family val="2"/>
      </rPr>
      <t>C</t>
    </r>
    <r>
      <rPr>
        <sz val="10"/>
        <color theme="1"/>
        <rFont val="Arial"/>
        <family val="2"/>
      </rPr>
      <t>-Wert durchzuführen. Der höhere Wert von OV</t>
    </r>
    <r>
      <rPr>
        <vertAlign val="subscript"/>
        <sz val="10"/>
        <color indexed="8"/>
        <rFont val="Arial"/>
        <family val="2"/>
      </rPr>
      <t>h</t>
    </r>
    <r>
      <rPr>
        <sz val="10"/>
        <color theme="1"/>
        <rFont val="Arial"/>
        <family val="2"/>
      </rPr>
      <t xml:space="preserve"> ist maßgebend."</t>
    </r>
  </si>
  <si>
    <r>
      <t>"Der Stossfaktor f</t>
    </r>
    <r>
      <rPr>
        <vertAlign val="subscript"/>
        <sz val="10"/>
        <color indexed="8"/>
        <rFont val="Arial"/>
        <family val="2"/>
      </rPr>
      <t>C</t>
    </r>
    <r>
      <rPr>
        <sz val="10"/>
        <color theme="1"/>
        <rFont val="Arial"/>
        <family val="2"/>
      </rPr>
      <t xml:space="preserve"> stellt das Verhältnis des Sauerstoffverbrauches für Kohlenstoffelimination in der Spitzenstunde zum durchschnittlichen Sauerstoffverbrauch dar. Dieses ist wegen der ausgleichenden Wirkung durch die Hydrolyse der Feststoffe nicht das Verhältnis der entsprechenden BSB</t>
    </r>
    <r>
      <rPr>
        <vertAlign val="subscript"/>
        <sz val="10"/>
        <color indexed="8"/>
        <rFont val="Arial"/>
        <family val="2"/>
      </rPr>
      <t>5</t>
    </r>
    <r>
      <rPr>
        <sz val="10"/>
        <color theme="1"/>
        <rFont val="Arial"/>
        <family val="2"/>
      </rPr>
      <t>-Frachten."
Ausgangspunkt: t</t>
    </r>
    <r>
      <rPr>
        <vertAlign val="subscript"/>
        <sz val="10"/>
        <color theme="1"/>
        <rFont val="Arial"/>
        <family val="2"/>
      </rPr>
      <t>TS,Bem</t>
    </r>
    <r>
      <rPr>
        <sz val="10"/>
        <color theme="1"/>
        <rFont val="Arial"/>
        <family val="2"/>
      </rPr>
      <t xml:space="preserve"> = 17 d</t>
    </r>
  </si>
  <si>
    <r>
      <t>"Der Stossfaktor f</t>
    </r>
    <r>
      <rPr>
        <vertAlign val="subscript"/>
        <sz val="10"/>
        <color theme="1"/>
        <rFont val="Arial"/>
        <family val="2"/>
      </rPr>
      <t>N</t>
    </r>
    <r>
      <rPr>
        <sz val="10"/>
        <color theme="1"/>
        <rFont val="Arial"/>
        <family val="2"/>
      </rPr>
      <t xml:space="preserve"> ist gleich dem Verhältnis der TKN-Fracht in der 2-h-Spitze zur 24-h-Durchschnittsfracht."
Ausgangspunkt: t</t>
    </r>
    <r>
      <rPr>
        <vertAlign val="subscript"/>
        <sz val="10"/>
        <color theme="1"/>
        <rFont val="Arial"/>
        <family val="2"/>
      </rPr>
      <t>TS,Bem</t>
    </r>
    <r>
      <rPr>
        <sz val="10"/>
        <color theme="1"/>
        <rFont val="Arial"/>
        <family val="2"/>
      </rPr>
      <t xml:space="preserve"> = 17 d</t>
    </r>
  </si>
  <si>
    <r>
      <t>Der Sauerstoffgehalt im belüfteten Teil des Belebungsbeckens ist zur Bemessung der Belüftungseinrichtung mit C</t>
    </r>
    <r>
      <rPr>
        <vertAlign val="subscript"/>
        <sz val="10"/>
        <color rgb="FF3F3F76"/>
        <rFont val="Arial"/>
        <family val="2"/>
      </rPr>
      <t>x</t>
    </r>
    <r>
      <rPr>
        <sz val="10"/>
        <color rgb="FF3F3F76"/>
        <rFont val="Arial"/>
        <family val="2"/>
      </rPr>
      <t xml:space="preserve"> = 2 mg/l anzusetzen.</t>
    </r>
  </si>
  <si>
    <t>Kontrollrechnung zur Überprüfung der CSB-Bilanz:</t>
  </si>
  <si>
    <r>
      <t>C</t>
    </r>
    <r>
      <rPr>
        <b/>
        <vertAlign val="subscript"/>
        <sz val="10"/>
        <color indexed="8"/>
        <rFont val="Arial"/>
        <family val="2"/>
      </rPr>
      <t>N,ZB</t>
    </r>
    <r>
      <rPr>
        <b/>
        <sz val="10"/>
        <color indexed="8"/>
        <rFont val="Arial"/>
        <family val="2"/>
      </rPr>
      <t/>
    </r>
  </si>
  <si>
    <r>
      <t>S</t>
    </r>
    <r>
      <rPr>
        <b/>
        <vertAlign val="subscript"/>
        <sz val="10"/>
        <color indexed="8"/>
        <rFont val="Arial"/>
        <family val="2"/>
      </rPr>
      <t>NO3-N,ZB</t>
    </r>
  </si>
  <si>
    <r>
      <t>S</t>
    </r>
    <r>
      <rPr>
        <b/>
        <vertAlign val="subscript"/>
        <sz val="10"/>
        <color indexed="8"/>
        <rFont val="Arial"/>
        <family val="2"/>
      </rPr>
      <t>NO2-N,ZB</t>
    </r>
  </si>
  <si>
    <r>
      <t>S</t>
    </r>
    <r>
      <rPr>
        <b/>
        <vertAlign val="subscript"/>
        <sz val="10"/>
        <color indexed="8"/>
        <rFont val="Arial"/>
        <family val="2"/>
      </rPr>
      <t>NH4-N,Schlammwasser</t>
    </r>
  </si>
  <si>
    <r>
      <t>S</t>
    </r>
    <r>
      <rPr>
        <b/>
        <vertAlign val="subscript"/>
        <sz val="10"/>
        <color indexed="8"/>
        <rFont val="Arial"/>
        <family val="2"/>
      </rPr>
      <t>orgN,AN</t>
    </r>
    <r>
      <rPr>
        <b/>
        <sz val="10"/>
        <color indexed="8"/>
        <rFont val="Arial"/>
        <family val="2"/>
      </rPr>
      <t/>
    </r>
  </si>
  <si>
    <r>
      <t>S</t>
    </r>
    <r>
      <rPr>
        <b/>
        <vertAlign val="subscript"/>
        <sz val="10"/>
        <color indexed="8"/>
        <rFont val="Arial"/>
        <family val="2"/>
      </rPr>
      <t>NH4,AN</t>
    </r>
    <r>
      <rPr>
        <b/>
        <sz val="10"/>
        <color indexed="8"/>
        <rFont val="Arial"/>
        <family val="2"/>
      </rPr>
      <t/>
    </r>
  </si>
  <si>
    <r>
      <t>Stickstoff, gesamt, als Summe von Ammonium-, Nitrit- und Nitratstickstoff (N</t>
    </r>
    <r>
      <rPr>
        <b/>
        <vertAlign val="subscript"/>
        <sz val="10"/>
        <color theme="1"/>
        <rFont val="Arial"/>
        <family val="2"/>
      </rPr>
      <t>ges</t>
    </r>
    <r>
      <rPr>
        <b/>
        <sz val="10"/>
        <color theme="1"/>
        <rFont val="Arial"/>
        <family val="2"/>
      </rPr>
      <t>) im Ablauf</t>
    </r>
  </si>
  <si>
    <r>
      <t>N</t>
    </r>
    <r>
      <rPr>
        <b/>
        <vertAlign val="subscript"/>
        <sz val="10"/>
        <color theme="1"/>
        <rFont val="Arial"/>
        <family val="2"/>
      </rPr>
      <t>ges.anorg.,AN</t>
    </r>
  </si>
  <si>
    <r>
      <t>S</t>
    </r>
    <r>
      <rPr>
        <b/>
        <vertAlign val="subscript"/>
        <sz val="10"/>
        <color indexed="8"/>
        <rFont val="Arial"/>
        <family val="2"/>
      </rPr>
      <t>NO3,AN</t>
    </r>
    <r>
      <rPr>
        <b/>
        <sz val="10"/>
        <color indexed="8"/>
        <rFont val="Arial"/>
        <family val="2"/>
      </rPr>
      <t/>
    </r>
  </si>
  <si>
    <r>
      <t>X</t>
    </r>
    <r>
      <rPr>
        <b/>
        <vertAlign val="subscript"/>
        <sz val="10"/>
        <color indexed="8"/>
        <rFont val="Arial"/>
        <family val="2"/>
      </rPr>
      <t>orgN,BM</t>
    </r>
  </si>
  <si>
    <r>
      <t>C</t>
    </r>
    <r>
      <rPr>
        <b/>
        <vertAlign val="subscript"/>
        <sz val="10"/>
        <color indexed="8"/>
        <rFont val="Arial"/>
        <family val="2"/>
      </rPr>
      <t>TKN,ZB</t>
    </r>
  </si>
  <si>
    <t>Denitrifikationskapazität, vorhanden</t>
  </si>
  <si>
    <t>Bekannte Eingangsparameter, Wassermengen im Trocken- und Regenwetterfall sowie Frachten und Konzentrationen im Zulauf der Belebung</t>
  </si>
  <si>
    <r>
      <t>B</t>
    </r>
    <r>
      <rPr>
        <b/>
        <vertAlign val="subscript"/>
        <sz val="10"/>
        <color indexed="8"/>
        <rFont val="Arial"/>
        <family val="2"/>
      </rPr>
      <t>d,BSB,Dos</t>
    </r>
    <r>
      <rPr>
        <b/>
        <sz val="10"/>
        <color indexed="8"/>
        <rFont val="Arial"/>
        <family val="2"/>
      </rPr>
      <t/>
    </r>
  </si>
  <si>
    <t>Mittlerer täglicher Bedarf bei Einsatz von Methanol als C-Quelle</t>
  </si>
  <si>
    <r>
      <t>B</t>
    </r>
    <r>
      <rPr>
        <b/>
        <vertAlign val="subscript"/>
        <sz val="10"/>
        <color indexed="8"/>
        <rFont val="Arial"/>
        <family val="2"/>
      </rPr>
      <t>d,Methanol,Dos</t>
    </r>
    <r>
      <rPr>
        <b/>
        <sz val="10"/>
        <color indexed="8"/>
        <rFont val="Arial"/>
        <family val="2"/>
      </rPr>
      <t/>
    </r>
  </si>
  <si>
    <t>Erforderliche Denitrifikationskapazität</t>
  </si>
  <si>
    <r>
      <t>Aerobes Schlammalter, bezogen auf V</t>
    </r>
    <r>
      <rPr>
        <b/>
        <vertAlign val="subscript"/>
        <sz val="10"/>
        <color theme="1"/>
        <rFont val="Arial"/>
        <family val="2"/>
      </rPr>
      <t>N</t>
    </r>
    <r>
      <rPr>
        <b/>
        <sz val="10"/>
        <color theme="1"/>
        <rFont val="Arial"/>
        <family val="2"/>
      </rPr>
      <t xml:space="preserve">
(resultierendes Schlammalter im Nitrifikationsbecken)</t>
    </r>
  </si>
  <si>
    <t>Konzentration des zu denitrifizierenden Nitrats</t>
  </si>
  <si>
    <r>
      <t>t</t>
    </r>
    <r>
      <rPr>
        <b/>
        <vertAlign val="subscript"/>
        <sz val="10"/>
        <color rgb="FF000000"/>
        <rFont val="Arial"/>
        <family val="2"/>
      </rPr>
      <t>TS,Bem</t>
    </r>
  </si>
  <si>
    <r>
      <t>t</t>
    </r>
    <r>
      <rPr>
        <vertAlign val="subscript"/>
        <sz val="10"/>
        <rFont val="Arial"/>
        <family val="2"/>
      </rPr>
      <t>TS</t>
    </r>
  </si>
  <si>
    <r>
      <t>Rückrechnung von t</t>
    </r>
    <r>
      <rPr>
        <vertAlign val="subscript"/>
        <sz val="10"/>
        <color theme="1"/>
        <rFont val="Arial"/>
        <family val="2"/>
      </rPr>
      <t>TS</t>
    </r>
    <r>
      <rPr>
        <sz val="10"/>
        <color theme="1"/>
        <rFont val="Arial"/>
        <family val="2"/>
      </rPr>
      <t xml:space="preserve"> über die Schlammbilanz ergibt nahezu den gleichen Wert, der für t</t>
    </r>
    <r>
      <rPr>
        <vertAlign val="subscript"/>
        <sz val="10"/>
        <color theme="1"/>
        <rFont val="Arial"/>
        <family val="2"/>
      </rPr>
      <t xml:space="preserve">TS,Bem </t>
    </r>
    <r>
      <rPr>
        <sz val="10"/>
        <color theme="1"/>
        <rFont val="Arial"/>
        <family val="2"/>
      </rPr>
      <t>angesetzt wurde (und das ist gut so…!)</t>
    </r>
  </si>
  <si>
    <r>
      <t>t</t>
    </r>
    <r>
      <rPr>
        <b/>
        <vertAlign val="subscript"/>
        <sz val="10"/>
        <color indexed="8"/>
        <rFont val="Arial"/>
        <family val="2"/>
      </rPr>
      <t xml:space="preserve">TS,Bem. </t>
    </r>
  </si>
  <si>
    <t>Kontrollrechnung</t>
  </si>
  <si>
    <t>Säurekapazität im Ablauf der Belebung</t>
  </si>
  <si>
    <t>(Obwohl ein gewisser Restgehalt an Ammoniumstickstoff den Bilanzraum über den Ablauf der Nachklärung verlässt und ein Teil des zu nitrifizierenden Stickstoffs im Belebtschlamm festgelegt wird, wird auf eine Abminderung verzichtet. Damit bleibt man "auf der sicheren Seite".)</t>
  </si>
  <si>
    <t>Ammoniumkonzentration im Zulauf zur Belebung</t>
  </si>
  <si>
    <t>keine Angabe, deshalb Standardwert gewählt</t>
  </si>
  <si>
    <r>
      <t>Ammoniumkonzentration im Zulauf ist nicht explizit angegeben. 
Faustwert: NH</t>
    </r>
    <r>
      <rPr>
        <vertAlign val="subscript"/>
        <sz val="10"/>
        <color theme="1"/>
        <rFont val="Arial"/>
        <family val="2"/>
      </rPr>
      <t>4</t>
    </r>
    <r>
      <rPr>
        <sz val="10"/>
        <color theme="1"/>
        <rFont val="Arial"/>
        <family val="2"/>
      </rPr>
      <t>-N = 2/3 * TKN</t>
    </r>
  </si>
  <si>
    <t>Ammoniumkonzentration im Ablauf der Nachklärung</t>
  </si>
  <si>
    <r>
      <t>S</t>
    </r>
    <r>
      <rPr>
        <b/>
        <vertAlign val="subscript"/>
        <sz val="10"/>
        <color indexed="8"/>
        <rFont val="Arial"/>
        <family val="2"/>
      </rPr>
      <t>NH4,AN</t>
    </r>
  </si>
  <si>
    <t>Nitratkonzentration im Ablauf der Nachklärung</t>
  </si>
  <si>
    <r>
      <t>S</t>
    </r>
    <r>
      <rPr>
        <vertAlign val="subscript"/>
        <sz val="12"/>
        <color theme="1"/>
        <rFont val="Arial"/>
        <family val="2"/>
      </rPr>
      <t>KS,AB</t>
    </r>
    <r>
      <rPr>
        <sz val="12"/>
        <color theme="1"/>
        <rFont val="Arial"/>
        <family val="2"/>
      </rPr>
      <t xml:space="preserve"> </t>
    </r>
    <r>
      <rPr>
        <sz val="12"/>
        <color theme="1"/>
        <rFont val="Calibri"/>
        <family val="2"/>
      </rPr>
      <t>≥</t>
    </r>
    <r>
      <rPr>
        <sz val="12"/>
        <color theme="1"/>
        <rFont val="Arial"/>
        <family val="2"/>
      </rPr>
      <t xml:space="preserve"> 1,5 mmol/l</t>
    </r>
  </si>
  <si>
    <t>Verminderung der Säurekapazität durch Zugabe von Metallsalzen zur Phosphorelimination</t>
  </si>
  <si>
    <r>
      <t>S</t>
    </r>
    <r>
      <rPr>
        <b/>
        <vertAlign val="subscript"/>
        <sz val="10"/>
        <color theme="1"/>
        <rFont val="Arial"/>
        <family val="2"/>
      </rPr>
      <t>Fe3</t>
    </r>
  </si>
  <si>
    <t>Bedingung erfüllt, eine gesonderte Dosierung basischer Chemikalien zur Aufrechterhaltung der nötigen Säurekapazität ist nicht erforderlich</t>
  </si>
  <si>
    <r>
      <rPr>
        <sz val="10"/>
        <color theme="1"/>
        <rFont val="Symbol"/>
        <family val="1"/>
        <charset val="2"/>
      </rPr>
      <t>b</t>
    </r>
    <r>
      <rPr>
        <sz val="10"/>
        <color theme="1"/>
        <rFont val="Calibri"/>
        <family val="2"/>
        <scheme val="minor"/>
      </rPr>
      <t xml:space="preserve"> </t>
    </r>
    <r>
      <rPr>
        <sz val="10"/>
        <color theme="1"/>
        <rFont val="Arial"/>
        <family val="2"/>
      </rPr>
      <t>ist die erforderliche Überdosierung, um sicher zu fällen, gewählt:</t>
    </r>
    <r>
      <rPr>
        <sz val="10"/>
        <color theme="1"/>
        <rFont val="Calibri"/>
        <family val="2"/>
        <scheme val="minor"/>
      </rPr>
      <t xml:space="preserve"> </t>
    </r>
    <r>
      <rPr>
        <sz val="10"/>
        <color theme="1"/>
        <rFont val="Symbol"/>
        <family val="1"/>
        <charset val="2"/>
      </rPr>
      <t>b</t>
    </r>
    <r>
      <rPr>
        <sz val="10"/>
        <color theme="1"/>
        <rFont val="Arial"/>
        <family val="2"/>
      </rPr>
      <t xml:space="preserve"> </t>
    </r>
    <r>
      <rPr>
        <sz val="10"/>
        <color theme="1"/>
        <rFont val="Symbol"/>
        <family val="1"/>
        <charset val="2"/>
      </rPr>
      <t>»</t>
    </r>
    <r>
      <rPr>
        <sz val="10"/>
        <color theme="1"/>
        <rFont val="Arial"/>
        <family val="2"/>
      </rPr>
      <t xml:space="preserve"> 1,5</t>
    </r>
  </si>
  <si>
    <t>Belebungsstufe
CSB-Bilanz</t>
  </si>
  <si>
    <t>Nachweis der Säurekapazität</t>
  </si>
  <si>
    <t>Belebungsbecken
Belüftung / Sauerstoffbedarf</t>
  </si>
  <si>
    <r>
      <t>h</t>
    </r>
    <r>
      <rPr>
        <b/>
        <vertAlign val="subscript"/>
        <sz val="10"/>
        <color theme="1"/>
        <rFont val="Arial"/>
        <family val="2"/>
      </rPr>
      <t>ges</t>
    </r>
    <r>
      <rPr>
        <b/>
        <sz val="10"/>
        <color theme="1"/>
        <rFont val="Arial"/>
        <family val="2"/>
      </rPr>
      <t xml:space="preserve"> auf 2/3 Fließweg</t>
    </r>
  </si>
  <si>
    <r>
      <t>h</t>
    </r>
    <r>
      <rPr>
        <b/>
        <vertAlign val="subscript"/>
        <sz val="10"/>
        <color theme="1"/>
        <rFont val="Arial"/>
        <family val="2"/>
      </rPr>
      <t>4</t>
    </r>
    <r>
      <rPr>
        <b/>
        <sz val="10"/>
        <color theme="1"/>
        <rFont val="Arial"/>
        <family val="2"/>
      </rPr>
      <t xml:space="preserve"> auf 2/3 Fließweg</t>
    </r>
  </si>
  <si>
    <r>
      <t xml:space="preserve">Überprüfung Neigung Beckensohle </t>
    </r>
    <r>
      <rPr>
        <sz val="10"/>
        <color theme="1"/>
        <rFont val="Calibri"/>
        <family val="2"/>
      </rPr>
      <t>≥</t>
    </r>
    <r>
      <rPr>
        <sz val="10"/>
        <color theme="1"/>
        <rFont val="Arial"/>
        <family val="2"/>
      </rPr>
      <t xml:space="preserve"> 1 : 15 (= 0,066)</t>
    </r>
  </si>
  <si>
    <t>errechnet</t>
  </si>
  <si>
    <t>Beckentiefe bei 2/3 des NKB-Durchmessers</t>
  </si>
  <si>
    <t>Gefälleneigung der Beckensohle</t>
  </si>
  <si>
    <t>Belebungsstufe 
Stickstoffbilanz</t>
  </si>
  <si>
    <t>Belebungsstufe
Phosphor-Bilanz</t>
  </si>
  <si>
    <t>Berechnen des erforderlichen Volumens des Belebungsbeckens 
Ermittlung des aeroben Schlammalters und des Volumenanteils der Denitrifikation</t>
  </si>
  <si>
    <t>Berechnen des erforderlichen Volumens des Belebungsbeckens 
Denitrifikationspotenzial / externe C-Quelle</t>
  </si>
  <si>
    <t>Berechnen des erforderlichen Volumens des Belebungsbeckens 
Überschussschlammanfall</t>
  </si>
  <si>
    <r>
      <t>S</t>
    </r>
    <r>
      <rPr>
        <b/>
        <vertAlign val="subscript"/>
        <sz val="10"/>
        <color indexed="8"/>
        <rFont val="Arial"/>
        <family val="2"/>
      </rPr>
      <t>NO3,D,Ext</t>
    </r>
  </si>
  <si>
    <t>Konzentration an zu denitrifizierendem Nitrat, die mit dem BSB im Zulauf zum BB nicht denitrifiziert werden kann</t>
  </si>
  <si>
    <t>Mittlere Aufstockung des CSB zum Erreichen der erforderlichen Denitrifikationskapazität</t>
  </si>
  <si>
    <r>
      <t>S</t>
    </r>
    <r>
      <rPr>
        <b/>
        <vertAlign val="subscript"/>
        <sz val="10"/>
        <color indexed="8"/>
        <rFont val="Arial"/>
        <family val="2"/>
      </rPr>
      <t>CSB,Dos</t>
    </r>
  </si>
  <si>
    <t>Mittlere Aufstockung des CSB im Zulauf der Belebung durch externe C-Quelle</t>
  </si>
  <si>
    <t>Berechnen des erforderlichen Volumens des Belebungsbeckens 
Trockensubstanz im Belebungsbecken, Nitrifikations- und Denitrifikationsvolumina, Raumbelastung, Schlammbelastung</t>
  </si>
  <si>
    <t>Belebungsbecken
Schlammindex, Eindickzeit, Trockensubstanz im Belebungsbecken, Boden- und Rücklaufschlamm, Rücklaufverhältnis</t>
  </si>
  <si>
    <t xml:space="preserve">Schlammindex = Schlammvolumen (ml/l) / Schlammtrockensubstanz (g/l) </t>
  </si>
  <si>
    <t>Belebungsbecken
Rückführverhältnis und Volumenstrom für interne Rezirkulation</t>
  </si>
  <si>
    <t>Flächenbeschickung, Schlammvolumenbeschickung, Vergleichsschlammvolumen 
und Beckenoberfläche für Nachklärbecken</t>
  </si>
  <si>
    <t>Nachweise Nachklärbecken
Beckentiefe, Gefälle</t>
  </si>
  <si>
    <r>
      <t xml:space="preserve">Sofern RF </t>
    </r>
    <r>
      <rPr>
        <sz val="10"/>
        <color theme="1"/>
        <rFont val="Calibri"/>
        <family val="2"/>
      </rPr>
      <t>&gt; 3</t>
    </r>
    <r>
      <rPr>
        <sz val="10"/>
        <color theme="1"/>
        <rFont val="Arial"/>
        <family val="2"/>
      </rPr>
      <t>, sollte man dennoch bei RF = 3 bleiben, weil der Gewinn beim Wirkungsgrad mit höheren RF immer kleiner wird.</t>
    </r>
  </si>
  <si>
    <t>Nachrechnen RV mit Formel aus Feststoffbilanz des NKB</t>
  </si>
  <si>
    <r>
      <t>Nachrechnen TS</t>
    </r>
    <r>
      <rPr>
        <vertAlign val="subscript"/>
        <sz val="10"/>
        <color theme="1"/>
        <rFont val="Arial"/>
        <family val="2"/>
      </rPr>
      <t>RS</t>
    </r>
    <r>
      <rPr>
        <sz val="10"/>
        <color theme="1"/>
        <rFont val="Arial"/>
        <family val="2"/>
      </rPr>
      <t xml:space="preserve"> mit Formel aus Feststoffbilanz des NKB</t>
    </r>
  </si>
  <si>
    <r>
      <t>Nachrechnen TS</t>
    </r>
    <r>
      <rPr>
        <vertAlign val="subscript"/>
        <sz val="10"/>
        <color theme="1"/>
        <rFont val="Arial"/>
        <family val="2"/>
      </rPr>
      <t>BB</t>
    </r>
    <r>
      <rPr>
        <sz val="10"/>
        <color theme="1"/>
        <rFont val="Arial"/>
        <family val="2"/>
      </rPr>
      <t xml:space="preserve"> mit Formel aus Feststoffbilanz des NKB</t>
    </r>
  </si>
  <si>
    <r>
      <t>S</t>
    </r>
    <r>
      <rPr>
        <b/>
        <vertAlign val="subscript"/>
        <sz val="10"/>
        <color theme="1"/>
        <rFont val="Arial"/>
        <family val="2"/>
      </rPr>
      <t>NO3,AN</t>
    </r>
  </si>
  <si>
    <t>Maßgebende Konzentration der abbaubaren organischen Stoffe im Zulauf zur Belebung</t>
  </si>
  <si>
    <r>
      <t>Die zugrundezulegende Ablaufkonzentration des Nitrates ist als Tagesdurchschnitt einzusetzen. Wenn, wie in Deutschland, die Überwachung an Stichproben erfolgt, ist sie deutlich geringer als der Überwachungswert (SanorgN.ÜW) vorzugeben. Zweckmäßig ist 
S</t>
    </r>
    <r>
      <rPr>
        <vertAlign val="subscript"/>
        <sz val="10"/>
        <rFont val="Arial"/>
        <family val="2"/>
      </rPr>
      <t>NO3,AN</t>
    </r>
    <r>
      <rPr>
        <sz val="10"/>
        <rFont val="Arial"/>
        <family val="2"/>
      </rPr>
      <t xml:space="preserve"> = 0,8 bis 0,6 · S</t>
    </r>
    <r>
      <rPr>
        <vertAlign val="subscript"/>
        <sz val="10"/>
        <rFont val="Arial"/>
        <family val="2"/>
      </rPr>
      <t>anorgN,ÜW</t>
    </r>
    <r>
      <rPr>
        <sz val="10"/>
        <rFont val="Arial"/>
        <family val="2"/>
      </rPr>
      <t xml:space="preserve"> 
wobei der kleinere Wert für Anlagen mit hohen Schwankungen der Zulauffrachten gilt (gewählt: 0,7).</t>
    </r>
  </si>
  <si>
    <t>siehe Registerblatt "N-Bilanz"</t>
  </si>
  <si>
    <r>
      <t>maßgebliche Temperatur = 20°C, hierfür c</t>
    </r>
    <r>
      <rPr>
        <vertAlign val="subscript"/>
        <sz val="10"/>
        <color theme="1"/>
        <rFont val="Arial"/>
        <family val="2"/>
      </rPr>
      <t>S</t>
    </r>
    <r>
      <rPr>
        <sz val="10"/>
        <color theme="1"/>
        <rFont val="Arial"/>
        <family val="2"/>
      </rPr>
      <t xml:space="preserve"> abgelesen aus Tabelle</t>
    </r>
  </si>
  <si>
    <r>
      <t>Der Sauerstoffgehalt im belüfteten Teil des Belebungsbeckens ist zur Bemessung der Belüftungseinrichtung mit c</t>
    </r>
    <r>
      <rPr>
        <vertAlign val="subscript"/>
        <sz val="10"/>
        <color rgb="FF3F3F76"/>
        <rFont val="Arial"/>
        <family val="2"/>
      </rPr>
      <t>x</t>
    </r>
    <r>
      <rPr>
        <sz val="10"/>
        <color rgb="FF3F3F76"/>
        <rFont val="Arial"/>
        <family val="2"/>
      </rPr>
      <t xml:space="preserve"> = 2 mg/l anzusetzen.</t>
    </r>
  </si>
  <si>
    <r>
      <t>c</t>
    </r>
    <r>
      <rPr>
        <b/>
        <vertAlign val="subscript"/>
        <sz val="10"/>
        <color indexed="8"/>
        <rFont val="Arial"/>
        <family val="2"/>
      </rPr>
      <t>S</t>
    </r>
  </si>
  <si>
    <r>
      <t>c</t>
    </r>
    <r>
      <rPr>
        <b/>
        <vertAlign val="subscript"/>
        <sz val="10"/>
        <color indexed="8"/>
        <rFont val="Arial"/>
        <family val="2"/>
      </rPr>
      <t>x</t>
    </r>
  </si>
  <si>
    <r>
      <t>C</t>
    </r>
    <r>
      <rPr>
        <vertAlign val="subscript"/>
        <sz val="14"/>
        <color indexed="8"/>
        <rFont val="Arial"/>
        <family val="2"/>
      </rPr>
      <t>N,ZB</t>
    </r>
    <r>
      <rPr>
        <sz val="14"/>
        <color indexed="8"/>
        <rFont val="Arial"/>
        <family val="2"/>
      </rPr>
      <t xml:space="preserve"> = C</t>
    </r>
    <r>
      <rPr>
        <vertAlign val="subscript"/>
        <sz val="14"/>
        <color indexed="8"/>
        <rFont val="Arial"/>
        <family val="2"/>
      </rPr>
      <t>TKN, ZB</t>
    </r>
    <r>
      <rPr>
        <sz val="14"/>
        <color indexed="8"/>
        <rFont val="Arial"/>
        <family val="2"/>
      </rPr>
      <t xml:space="preserve"> + S</t>
    </r>
    <r>
      <rPr>
        <vertAlign val="subscript"/>
        <sz val="14"/>
        <color indexed="8"/>
        <rFont val="Arial"/>
        <family val="2"/>
      </rPr>
      <t>NO3,ZB</t>
    </r>
    <r>
      <rPr>
        <sz val="14"/>
        <color indexed="8"/>
        <rFont val="Arial"/>
        <family val="2"/>
      </rPr>
      <t xml:space="preserve"> + S</t>
    </r>
    <r>
      <rPr>
        <vertAlign val="subscript"/>
        <sz val="14"/>
        <color indexed="8"/>
        <rFont val="Arial"/>
        <family val="2"/>
      </rPr>
      <t>NO2-N,ZB</t>
    </r>
    <r>
      <rPr>
        <sz val="14"/>
        <color indexed="8"/>
        <rFont val="Arial"/>
        <family val="2"/>
      </rPr>
      <t xml:space="preserve"> + S</t>
    </r>
    <r>
      <rPr>
        <vertAlign val="subscript"/>
        <sz val="14"/>
        <color indexed="8"/>
        <rFont val="Arial"/>
        <family val="2"/>
      </rPr>
      <t>NH4-N,Schlammwasser</t>
    </r>
    <r>
      <rPr>
        <sz val="14"/>
        <color indexed="8"/>
        <rFont val="Arial"/>
        <family val="2"/>
      </rPr>
      <t/>
    </r>
  </si>
  <si>
    <t>Plausibilitäts-kontrolle</t>
  </si>
  <si>
    <t xml:space="preserve">TKN-Fracht entspricht fast genau dem Faustwert von 11 g TKN/(E * d) </t>
  </si>
  <si>
    <t>P-Fracht geringfügig niedriger als nach Faustwert von 1,8 g P/(E * d) zu erwarten</t>
  </si>
  <si>
    <t>CSB-Fracht etwas höher als nach Faustwert von 120 g CSB/(E*d) zu erwarten</t>
  </si>
  <si>
    <t>Kein Nitrat im Zulauf</t>
  </si>
  <si>
    <t>Parameter</t>
  </si>
  <si>
    <t>Influent loads according paper from 10/10/2018:</t>
  </si>
  <si>
    <t>Effluent values according E-Mail Mr. Schulze from 11/10/2018:</t>
  </si>
  <si>
    <t>Effluent values rounded</t>
  </si>
  <si>
    <t>Removal</t>
  </si>
  <si>
    <t>Total BOD</t>
  </si>
  <si>
    <t>BSB5:               4,61 mg/l</t>
  </si>
  <si>
    <t>Total COD</t>
  </si>
  <si>
    <t>CSB:               41,14 mg/l</t>
  </si>
  <si>
    <t>TKN</t>
  </si>
  <si>
    <r>
      <t>NH</t>
    </r>
    <r>
      <rPr>
        <vertAlign val="subscript"/>
        <sz val="11"/>
        <color theme="1"/>
        <rFont val="Calibri"/>
        <family val="2"/>
        <scheme val="minor"/>
      </rPr>
      <t>4</t>
    </r>
    <r>
      <rPr>
        <sz val="10"/>
        <color theme="1"/>
        <rFont val="Arial"/>
        <family val="2"/>
      </rPr>
      <t>-N</t>
    </r>
  </si>
  <si>
    <t>NH4-N:             0,2   mg/l</t>
  </si>
  <si>
    <t>TIN</t>
  </si>
  <si>
    <t>Nges (anorg) 11,26 mg/l</t>
  </si>
  <si>
    <t>Total P</t>
  </si>
  <si>
    <t>P :                    0,57 mg/l</t>
  </si>
  <si>
    <t>Total Suspended Solids</t>
  </si>
  <si>
    <t>Susp. Stoffe:    6,68 mg/l</t>
  </si>
  <si>
    <t>Resulting influent concentration at 52,000 m³/d (average)</t>
  </si>
  <si>
    <t>CSB</t>
  </si>
  <si>
    <t>TOC</t>
  </si>
  <si>
    <t>AFS</t>
  </si>
  <si>
    <t>P</t>
  </si>
  <si>
    <t>Feststofffracht deutlich niedriger als nach Faustwert von 70 g TS/(E * d) zu erwarten</t>
  </si>
  <si>
    <r>
      <t>BSB</t>
    </r>
    <r>
      <rPr>
        <vertAlign val="subscript"/>
        <sz val="10"/>
        <color theme="1"/>
        <rFont val="Arial"/>
        <family val="2"/>
      </rPr>
      <t>5</t>
    </r>
    <r>
      <rPr>
        <sz val="10"/>
        <color theme="1"/>
        <rFont val="Arial"/>
        <family val="2"/>
      </rPr>
      <t>-Fracht niedriger als nach Faustwert von 60 g BSB</t>
    </r>
    <r>
      <rPr>
        <vertAlign val="subscript"/>
        <sz val="10"/>
        <color theme="1"/>
        <rFont val="Arial"/>
        <family val="2"/>
      </rPr>
      <t>5</t>
    </r>
    <r>
      <rPr>
        <sz val="10"/>
        <color theme="1"/>
        <rFont val="Arial"/>
        <family val="2"/>
      </rPr>
      <t>/(E*d) zu erwarten</t>
    </r>
  </si>
  <si>
    <r>
      <t xml:space="preserve">Nach AbwV Anhang 1 gilt für </t>
    </r>
    <r>
      <rPr>
        <sz val="10"/>
        <color theme="1"/>
        <rFont val="Calibri"/>
        <family val="2"/>
      </rPr>
      <t>≥</t>
    </r>
    <r>
      <rPr>
        <sz val="10"/>
        <color theme="1"/>
        <rFont val="Arial"/>
        <family val="2"/>
      </rPr>
      <t xml:space="preserve"> 10</t>
    </r>
    <r>
      <rPr>
        <sz val="10"/>
        <color theme="1"/>
        <rFont val="Arial"/>
        <family val="2"/>
      </rPr>
      <t>0.000 EW ÜW</t>
    </r>
    <r>
      <rPr>
        <vertAlign val="subscript"/>
        <sz val="10"/>
        <color theme="1"/>
        <rFont val="Arial"/>
        <family val="2"/>
      </rPr>
      <t>NH4-N</t>
    </r>
    <r>
      <rPr>
        <sz val="10"/>
        <color theme="1"/>
        <rFont val="Arial"/>
        <family val="2"/>
      </rPr>
      <t xml:space="preserve"> = 10 mg/l.
KA Stahnsdorf hat Ablaufkonzentration von 0,2 mg NH4-N/l</t>
    </r>
  </si>
  <si>
    <r>
      <t xml:space="preserve">Nach AbwV Anhang 1 gilt für </t>
    </r>
    <r>
      <rPr>
        <sz val="10"/>
        <color theme="1"/>
        <rFont val="Calibri"/>
        <family val="2"/>
      </rPr>
      <t>≥</t>
    </r>
    <r>
      <rPr>
        <sz val="10"/>
        <color theme="1"/>
        <rFont val="Arial"/>
        <family val="2"/>
      </rPr>
      <t>100.000 EW ÜW</t>
    </r>
    <r>
      <rPr>
        <vertAlign val="subscript"/>
        <sz val="10"/>
        <color theme="1"/>
        <rFont val="Arial"/>
        <family val="2"/>
      </rPr>
      <t>Nges,anorg</t>
    </r>
    <r>
      <rPr>
        <sz val="10"/>
        <color theme="1"/>
        <rFont val="Arial"/>
        <family val="2"/>
      </rPr>
      <t xml:space="preserve"> = 13 mg/l. Für KA Stahnsdorf wurde seitens der Behörde offensichtlich diese Anforderung 1 : 1 übernommen (13 mg/l). 
gewählt 9 mg/l (25% Abschlag)</t>
    </r>
  </si>
  <si>
    <t>Faktor gewählt zu 0,6 (damit Übereinstimmung zu dem P-Messwert im Ablauf der KA Stahnsdorf)</t>
  </si>
  <si>
    <t>Annahme: Phosphatfällung mit Eisen-(III)-Salzen</t>
  </si>
  <si>
    <r>
      <t xml:space="preserve">20.000 EW </t>
    </r>
    <r>
      <rPr>
        <sz val="10"/>
        <color theme="1"/>
        <rFont val="Symbol"/>
        <family val="1"/>
        <charset val="2"/>
      </rPr>
      <t>@</t>
    </r>
    <r>
      <rPr>
        <sz val="10"/>
        <color theme="1"/>
        <rFont val="Arial"/>
        <family val="2"/>
      </rPr>
      <t xml:space="preserve"> 1,8
100.000 EW </t>
    </r>
    <r>
      <rPr>
        <sz val="10"/>
        <color theme="1"/>
        <rFont val="Symbol"/>
        <family val="1"/>
        <charset val="2"/>
      </rPr>
      <t>@</t>
    </r>
    <r>
      <rPr>
        <sz val="10"/>
        <color theme="1"/>
        <rFont val="Arial"/>
        <family val="2"/>
      </rPr>
      <t xml:space="preserve"> 1,45
420.000 EW gewählt 1,4</t>
    </r>
  </si>
  <si>
    <r>
      <t>KA Stahnsdorf:
     N-Zone =  37.200 m³ 
     DN-Zone = 23.000 m³
     Ergo:</t>
    </r>
    <r>
      <rPr>
        <b/>
        <sz val="10"/>
        <rFont val="Arial"/>
        <family val="2"/>
      </rPr>
      <t xml:space="preserve"> V</t>
    </r>
    <r>
      <rPr>
        <b/>
        <vertAlign val="subscript"/>
        <sz val="10"/>
        <rFont val="Arial"/>
        <family val="2"/>
      </rPr>
      <t>D</t>
    </r>
    <r>
      <rPr>
        <b/>
        <sz val="10"/>
        <rFont val="Arial"/>
        <family val="2"/>
      </rPr>
      <t>/V</t>
    </r>
    <r>
      <rPr>
        <b/>
        <vertAlign val="subscript"/>
        <sz val="10"/>
        <rFont val="Arial"/>
        <family val="2"/>
      </rPr>
      <t>BB</t>
    </r>
    <r>
      <rPr>
        <b/>
        <sz val="10"/>
        <rFont val="Arial"/>
        <family val="2"/>
      </rPr>
      <t xml:space="preserve"> = 23.000 / 66.200 = 35%,</t>
    </r>
    <r>
      <rPr>
        <sz val="10"/>
        <rFont val="Arial"/>
        <family val="2"/>
      </rPr>
      <t xml:space="preserve"> 
Die BSB-Zulauffracht der KA Stahnsdorf beträgt 22.800 kg BSB/d. Somit gilt der rechte Teil der Tabelle.
Deshalb ergibt sich nach Tabelle 2 ein min. tTS,aerob,Bem von etwa (9,4 + 11)/2= 10,2 d.
Das Schlammalter muss umso höher sein, je höher der Anteil des Beckenvolumens für die Denitrifikation und je tiefer die Bemessungstemperatur gewählt wird!</t>
    </r>
  </si>
  <si>
    <t>Rückrechnung mit den Volumina der KA Stahnsdorf:
Der real vorhandene und der gewählte Wert weichen kaum voneinander ab.</t>
  </si>
  <si>
    <r>
      <t>Quotient = 0,7
Bemessungsschlammalter t</t>
    </r>
    <r>
      <rPr>
        <vertAlign val="subscript"/>
        <sz val="10"/>
        <color theme="1"/>
        <rFont val="Arial"/>
        <family val="2"/>
      </rPr>
      <t>TS,aerob,Bem</t>
    </r>
    <r>
      <rPr>
        <sz val="10"/>
        <color theme="1"/>
        <rFont val="Arial"/>
        <family val="2"/>
      </rPr>
      <t xml:space="preserve"> = 10d</t>
    </r>
  </si>
  <si>
    <t>KA Stahnsdorf
Überschussschlammabzug = 1.900 m³/d bzw. 15.200 kg TS/d (8 g TS/l = 8 kg TS/m³)</t>
  </si>
  <si>
    <t xml:space="preserve">KA Stahnsdorf </t>
  </si>
  <si>
    <t>KA Stahnsdorf: vorwiegend horizontal durchströmte Rundbecken</t>
  </si>
  <si>
    <r>
      <t>abgelesen aus Bild 5: Für ISV = 100 kg/m³ und t</t>
    </r>
    <r>
      <rPr>
        <vertAlign val="subscript"/>
        <sz val="10"/>
        <color theme="1"/>
        <rFont val="Arial"/>
        <family val="2"/>
      </rPr>
      <t>E</t>
    </r>
    <r>
      <rPr>
        <sz val="10"/>
        <color theme="1"/>
        <rFont val="Arial"/>
        <family val="2"/>
      </rPr>
      <t xml:space="preserve"> = 1,5 h ergibt sich TS</t>
    </r>
    <r>
      <rPr>
        <vertAlign val="subscript"/>
        <sz val="10"/>
        <color theme="1"/>
        <rFont val="Arial"/>
        <family val="2"/>
      </rPr>
      <t>BS</t>
    </r>
    <r>
      <rPr>
        <sz val="10"/>
        <color theme="1"/>
        <rFont val="Arial"/>
        <family val="2"/>
      </rPr>
      <t xml:space="preserve"> = ca. 11,5 kg/m³</t>
    </r>
  </si>
  <si>
    <r>
      <t>t</t>
    </r>
    <r>
      <rPr>
        <vertAlign val="subscript"/>
        <sz val="10"/>
        <color theme="1"/>
        <rFont val="Arial"/>
        <family val="2"/>
      </rPr>
      <t>E</t>
    </r>
    <r>
      <rPr>
        <sz val="10"/>
        <color theme="1"/>
        <rFont val="Arial"/>
        <family val="2"/>
      </rPr>
      <t xml:space="preserve"> errechnet aus TS</t>
    </r>
    <r>
      <rPr>
        <vertAlign val="subscript"/>
        <sz val="10"/>
        <color theme="1"/>
        <rFont val="Arial"/>
        <family val="2"/>
      </rPr>
      <t>BS</t>
    </r>
    <r>
      <rPr>
        <sz val="10"/>
        <color theme="1"/>
        <rFont val="Arial"/>
        <family val="2"/>
      </rPr>
      <t xml:space="preserve"> = 10 kg/m³ und ISV = 100 l/kg</t>
    </r>
  </si>
  <si>
    <r>
      <t>TS</t>
    </r>
    <r>
      <rPr>
        <vertAlign val="subscript"/>
        <sz val="10"/>
        <color theme="1"/>
        <rFont val="Arial"/>
        <family val="2"/>
      </rPr>
      <t>BB</t>
    </r>
    <r>
      <rPr>
        <sz val="10"/>
        <color theme="1"/>
        <rFont val="Arial"/>
        <family val="2"/>
      </rPr>
      <t xml:space="preserve"> abzulesen aus Bild 4: Bei ISV = 100 und RV = 0,7 ergibt sich ca. 3,5 kg/m³</t>
    </r>
  </si>
  <si>
    <r>
      <t>KA Stahnsdorf: V</t>
    </r>
    <r>
      <rPr>
        <vertAlign val="subscript"/>
        <sz val="10"/>
        <color theme="1"/>
        <rFont val="Arial"/>
        <family val="2"/>
      </rPr>
      <t>BB</t>
    </r>
    <r>
      <rPr>
        <sz val="10"/>
        <color theme="1"/>
        <rFont val="Arial"/>
        <family val="2"/>
      </rPr>
      <t xml:space="preserve"> = 66.200 m³</t>
    </r>
  </si>
  <si>
    <t>100 gewählt - unterer Wert der linken Spalte der Tab. 6 
(höhere Werte führen zu Ergebnissen, die in Widerspruch zur Realität der KA Stahnsdorf stehen)</t>
  </si>
  <si>
    <t>Trockenwetterzufluss je Einwohner entspricht fast auf den Liter genau dem mittleren Trinkwasserbedarf in D</t>
  </si>
  <si>
    <t>Vorhanden: Mehrere Becken mit insgesamt 10.300 m³</t>
  </si>
  <si>
    <t>Vorgeschaltete Denitrifikation mit biologischer Phophatelimination</t>
  </si>
  <si>
    <t>BSB</t>
  </si>
  <si>
    <t>P gesamt</t>
  </si>
  <si>
    <t>Zulauffrachten</t>
  </si>
  <si>
    <t>Resultierende Zulaufkonzentration bei 52,000 m³/d</t>
  </si>
  <si>
    <t>Ablaufwerte gerundet</t>
  </si>
  <si>
    <t>Eliminierung</t>
  </si>
  <si>
    <r>
      <t>"Der Stossfaktor f</t>
    </r>
    <r>
      <rPr>
        <vertAlign val="subscript"/>
        <sz val="10"/>
        <color theme="1"/>
        <rFont val="Arial"/>
        <family val="2"/>
      </rPr>
      <t>N</t>
    </r>
    <r>
      <rPr>
        <sz val="10"/>
        <color theme="1"/>
        <rFont val="Arial"/>
        <family val="2"/>
      </rPr>
      <t xml:space="preserve"> ist gleich dem Verhältnis der TKN-Fracht in der 2-h-Spitze zur 24-h-Durchschnittsfracht."
Ausgangspunkt: t</t>
    </r>
    <r>
      <rPr>
        <vertAlign val="subscript"/>
        <sz val="10"/>
        <color theme="1"/>
        <rFont val="Arial"/>
        <family val="2"/>
      </rPr>
      <t>TS,Bem</t>
    </r>
    <r>
      <rPr>
        <sz val="10"/>
        <color theme="1"/>
        <rFont val="Arial"/>
        <family val="2"/>
      </rPr>
      <t xml:space="preserve"> = 15,4 d</t>
    </r>
  </si>
  <si>
    <r>
      <t>"Der Stossfaktor f</t>
    </r>
    <r>
      <rPr>
        <vertAlign val="subscript"/>
        <sz val="10"/>
        <color indexed="8"/>
        <rFont val="Arial"/>
        <family val="2"/>
      </rPr>
      <t>C</t>
    </r>
    <r>
      <rPr>
        <sz val="10"/>
        <color theme="1"/>
        <rFont val="Arial"/>
        <family val="2"/>
      </rPr>
      <t xml:space="preserve"> stellt das Verhältnis des Sauerstoffverbrauches für Kohlenstoffelimination in der Spitzenstunde zum durchschnittlichen Sauerstoffverbrauch dar. Dieses ist wegen der ausgleichenden Wirkung durch die Hydrolyse der Feststoffe nicht das Verhältnis der entsprechenden BSB</t>
    </r>
    <r>
      <rPr>
        <vertAlign val="subscript"/>
        <sz val="10"/>
        <color indexed="8"/>
        <rFont val="Arial"/>
        <family val="2"/>
      </rPr>
      <t>5</t>
    </r>
    <r>
      <rPr>
        <sz val="10"/>
        <color theme="1"/>
        <rFont val="Arial"/>
        <family val="2"/>
      </rPr>
      <t>-Frachten."
Ausgangspunkt: t</t>
    </r>
    <r>
      <rPr>
        <vertAlign val="subscript"/>
        <sz val="10"/>
        <color theme="1"/>
        <rFont val="Arial"/>
        <family val="2"/>
      </rPr>
      <t>TS,Bem</t>
    </r>
    <r>
      <rPr>
        <sz val="10"/>
        <color theme="1"/>
        <rFont val="Arial"/>
        <family val="2"/>
      </rPr>
      <t xml:space="preserve"> = 15,4 d</t>
    </r>
  </si>
  <si>
    <t>Istzustand</t>
  </si>
  <si>
    <r>
      <t>TS</t>
    </r>
    <r>
      <rPr>
        <b/>
        <vertAlign val="subscript"/>
        <sz val="10"/>
        <color theme="1"/>
        <rFont val="Arial"/>
        <family val="2"/>
      </rPr>
      <t>RS</t>
    </r>
  </si>
  <si>
    <t>Current state</t>
  </si>
  <si>
    <t>MLSS</t>
  </si>
  <si>
    <t>RR</t>
  </si>
  <si>
    <r>
      <t>TS</t>
    </r>
    <r>
      <rPr>
        <b/>
        <vertAlign val="subscript"/>
        <sz val="10"/>
        <color theme="1"/>
        <rFont val="Arial"/>
        <family val="2"/>
      </rPr>
      <t>RAS</t>
    </r>
  </si>
  <si>
    <t>Increasing RR</t>
  </si>
  <si>
    <t>Target-performance comparison</t>
  </si>
  <si>
    <t>Design Parameter</t>
  </si>
  <si>
    <t>SRT</t>
  </si>
  <si>
    <r>
      <t>V</t>
    </r>
    <r>
      <rPr>
        <b/>
        <vertAlign val="subscript"/>
        <sz val="14"/>
        <color theme="1"/>
        <rFont val="Arial"/>
        <family val="2"/>
      </rPr>
      <t>AT</t>
    </r>
  </si>
  <si>
    <r>
      <t>M</t>
    </r>
    <r>
      <rPr>
        <b/>
        <vertAlign val="subscript"/>
        <sz val="14"/>
        <color theme="1"/>
        <rFont val="Arial"/>
        <family val="2"/>
      </rPr>
      <t>TS,WAS</t>
    </r>
  </si>
  <si>
    <t>Target</t>
  </si>
  <si>
    <r>
      <t>M</t>
    </r>
    <r>
      <rPr>
        <b/>
        <vertAlign val="subscript"/>
        <sz val="14"/>
        <color theme="1"/>
        <rFont val="Arial"/>
        <family val="2"/>
      </rPr>
      <t>TS,AT</t>
    </r>
  </si>
  <si>
    <t>Over- /Under-Sizing</t>
  </si>
  <si>
    <r>
      <t>Q</t>
    </r>
    <r>
      <rPr>
        <vertAlign val="subscript"/>
        <sz val="10"/>
        <color theme="1"/>
        <rFont val="Arial"/>
        <family val="2"/>
      </rPr>
      <t>t</t>
    </r>
  </si>
  <si>
    <r>
      <t>Q</t>
    </r>
    <r>
      <rPr>
        <vertAlign val="subscript"/>
        <sz val="10"/>
        <color theme="1"/>
        <rFont val="Arial"/>
        <family val="2"/>
      </rPr>
      <t>IRD</t>
    </r>
  </si>
  <si>
    <r>
      <t>Q</t>
    </r>
    <r>
      <rPr>
        <vertAlign val="subscript"/>
        <sz val="10"/>
        <color theme="1"/>
        <rFont val="Arial"/>
        <family val="2"/>
      </rPr>
      <t>RAS</t>
    </r>
  </si>
  <si>
    <t>VKB</t>
  </si>
  <si>
    <t>BioP</t>
  </si>
  <si>
    <t>DN</t>
  </si>
  <si>
    <t>N</t>
  </si>
  <si>
    <t>NKB</t>
  </si>
  <si>
    <t>BB</t>
  </si>
  <si>
    <t>VKB optional</t>
  </si>
  <si>
    <t>gewählt: 10%</t>
  </si>
  <si>
    <t>gewählt: 35%</t>
  </si>
  <si>
    <t>gewählt: 55%</t>
  </si>
  <si>
    <r>
      <t>"Je nach Art des Abwassers bzw. der Aufenthaltszeit in der Vorklärung kann f</t>
    </r>
    <r>
      <rPr>
        <vertAlign val="subscript"/>
        <sz val="10"/>
        <color theme="1"/>
        <rFont val="Arial"/>
        <family val="2"/>
      </rPr>
      <t>A</t>
    </r>
    <r>
      <rPr>
        <sz val="10"/>
        <color theme="1"/>
        <rFont val="Arial"/>
        <family val="2"/>
      </rPr>
      <t xml:space="preserve"> zwischen 0,2 und 0,35 liegen. Es wird empfohlen, für kommunales Abwasser mit f</t>
    </r>
    <r>
      <rPr>
        <vertAlign val="subscript"/>
        <sz val="10"/>
        <color theme="1"/>
        <rFont val="Arial"/>
        <family val="2"/>
      </rPr>
      <t>A</t>
    </r>
    <r>
      <rPr>
        <sz val="10"/>
        <color theme="1"/>
        <rFont val="Arial"/>
        <family val="2"/>
      </rPr>
      <t xml:space="preserve"> = 0,3 zu rechnen."</t>
    </r>
  </si>
  <si>
    <r>
      <t>"Die gelöste inerte Fraktion kann näherungsweise mit der gelösten CSB-Konzentration im Ablauf der Nachklärung gleichgesetzt werden... Der Anteil f</t>
    </r>
    <r>
      <rPr>
        <vertAlign val="subscript"/>
        <sz val="10"/>
        <color theme="1"/>
        <rFont val="Arial"/>
        <family val="2"/>
      </rPr>
      <t>S</t>
    </r>
    <r>
      <rPr>
        <sz val="10"/>
        <color theme="1"/>
        <rFont val="Arial"/>
        <family val="2"/>
      </rPr>
      <t xml:space="preserve"> des inerten, gelösten CSB am gesamten CSB liegt zwischen 0,05 und 0,1. Wenn keine Messwerte vorliegen, wird für kommunales Abwasser empfohlen, mit f</t>
    </r>
    <r>
      <rPr>
        <vertAlign val="subscript"/>
        <sz val="10"/>
        <color theme="1"/>
        <rFont val="Arial"/>
        <family val="2"/>
      </rPr>
      <t>S</t>
    </r>
    <r>
      <rPr>
        <sz val="10"/>
        <color theme="1"/>
        <rFont val="Arial"/>
        <family val="2"/>
      </rPr>
      <t xml:space="preserve"> = 0,05 zu rechnen."</t>
    </r>
  </si>
  <si>
    <r>
      <t>"Der Wert von f</t>
    </r>
    <r>
      <rPr>
        <vertAlign val="subscript"/>
        <sz val="10"/>
        <color theme="1"/>
        <rFont val="Arial"/>
        <family val="2"/>
      </rPr>
      <t>B</t>
    </r>
    <r>
      <rPr>
        <sz val="10"/>
        <color theme="1"/>
        <rFont val="Arial"/>
        <family val="2"/>
      </rPr>
      <t xml:space="preserve"> kann mit 0,2 bis 0,3 (70 % bis 80 % Glühverlust) angesetzt werden. Der Faktor f</t>
    </r>
    <r>
      <rPr>
        <vertAlign val="subscript"/>
        <sz val="10"/>
        <color theme="1"/>
        <rFont val="Arial"/>
        <family val="2"/>
      </rPr>
      <t>B</t>
    </r>
    <r>
      <rPr>
        <sz val="10"/>
        <color theme="1"/>
        <rFont val="Arial"/>
        <family val="2"/>
      </rPr>
      <t xml:space="preserve"> entspricht damit dem analytisch leicht zu bestimmenden Glührückstand der partikulären Substanz. Wenn keine Messwerte vorliegen, wird empfohlen, für Rohabwasser mit f</t>
    </r>
    <r>
      <rPr>
        <vertAlign val="subscript"/>
        <sz val="10"/>
        <color theme="1"/>
        <rFont val="Arial"/>
        <family val="2"/>
      </rPr>
      <t>B</t>
    </r>
    <r>
      <rPr>
        <sz val="10"/>
        <color theme="1"/>
        <rFont val="Arial"/>
        <family val="2"/>
      </rPr>
      <t xml:space="preserve"> = 0,3 und für vorgeklärtes Abwasser mit f</t>
    </r>
    <r>
      <rPr>
        <vertAlign val="subscript"/>
        <sz val="10"/>
        <color theme="1"/>
        <rFont val="Arial"/>
        <family val="2"/>
      </rPr>
      <t>B</t>
    </r>
    <r>
      <rPr>
        <sz val="10"/>
        <color theme="1"/>
        <rFont val="Arial"/>
        <family val="2"/>
      </rPr>
      <t xml:space="preserve"> = 0,2 zu rechnen."</t>
    </r>
  </si>
  <si>
    <t>Zulauf Kläranlage</t>
  </si>
  <si>
    <t>Fracht</t>
  </si>
  <si>
    <t>C</t>
  </si>
  <si>
    <t>Rechenschritt</t>
  </si>
  <si>
    <t>Total SS</t>
  </si>
  <si>
    <t>Nonvolatile SS</t>
  </si>
  <si>
    <t>COD soluble, nonbiodegradable</t>
  </si>
  <si>
    <t>COD particulate, nonbiodegradable</t>
  </si>
  <si>
    <t>Volatile SS</t>
  </si>
  <si>
    <t>Konzentration bei 
0,2 m³/E*d</t>
  </si>
  <si>
    <t>Default fractions of COD and solids in the influent of the aeration tank</t>
  </si>
  <si>
    <t xml:space="preserve">Soluble COD </t>
  </si>
  <si>
    <t xml:space="preserve">Particulate COD </t>
  </si>
  <si>
    <r>
      <t xml:space="preserve">1 g TSS </t>
    </r>
    <r>
      <rPr>
        <b/>
        <sz val="11"/>
        <color theme="1"/>
        <rFont val="Symbol"/>
        <family val="1"/>
        <charset val="2"/>
      </rPr>
      <t>@</t>
    </r>
    <r>
      <rPr>
        <b/>
        <sz val="11"/>
        <color theme="1"/>
        <rFont val="Arial"/>
        <family val="2"/>
      </rPr>
      <t xml:space="preserve"> 1.6 g COD</t>
    </r>
  </si>
  <si>
    <t>Volatile Suspended Solids</t>
  </si>
  <si>
    <t>Non-volatile Suspended Solids</t>
  </si>
  <si>
    <t xml:space="preserve">Soluble biodegradable COD </t>
  </si>
  <si>
    <t xml:space="preserve">Soluble non-degradable COD </t>
  </si>
  <si>
    <t xml:space="preserve">Particulate biodegradable COD </t>
  </si>
  <si>
    <t xml:space="preserve">Particulate non-degradable COD </t>
  </si>
  <si>
    <t xml:space="preserve">Total BOD </t>
  </si>
  <si>
    <t>Population-specific loads in raw sewage</t>
  </si>
  <si>
    <t>Concentration in raw sewage if consumption is 200 l/capita*day</t>
  </si>
  <si>
    <t>Nondegradable COD</t>
  </si>
  <si>
    <r>
      <t>BOD</t>
    </r>
    <r>
      <rPr>
        <vertAlign val="subscript"/>
        <sz val="16"/>
        <color rgb="FF000000"/>
        <rFont val="Calibri"/>
      </rPr>
      <t>5</t>
    </r>
  </si>
  <si>
    <t>COD</t>
  </si>
  <si>
    <t>TSS</t>
  </si>
  <si>
    <t>Particulate BOD</t>
  </si>
  <si>
    <t xml:space="preserve">Soluble BOD </t>
  </si>
  <si>
    <t>Nondegradable COD, particulate</t>
  </si>
  <si>
    <t>Nondegradable COD, 
soluble</t>
  </si>
  <si>
    <r>
      <t>NH</t>
    </r>
    <r>
      <rPr>
        <vertAlign val="subscript"/>
        <sz val="16"/>
        <color rgb="FF000000"/>
        <rFont val="Calibri"/>
      </rPr>
      <t>4</t>
    </r>
    <r>
      <rPr>
        <sz val="16"/>
        <color rgb="FF000000"/>
        <rFont val="Calibri"/>
      </rPr>
      <t>-N</t>
    </r>
  </si>
  <si>
    <t>oTS</t>
  </si>
  <si>
    <t>COD particulate</t>
  </si>
  <si>
    <t>COD soluble</t>
  </si>
  <si>
    <t>Biodegradable COD 
(= Total BOD)</t>
  </si>
  <si>
    <t>Biodegradable COD particulate
(= Particulate BOD)</t>
  </si>
  <si>
    <t>Biodegradable COD soluble
(= Soluble BOD)</t>
  </si>
  <si>
    <t>Symbol gemäß DWA-A 131</t>
  </si>
  <si>
    <t>Zulauf Belebung</t>
  </si>
  <si>
    <t>nach 1,5…2 h Aufenthalt im VKB</t>
  </si>
  <si>
    <r>
      <t>X</t>
    </r>
    <r>
      <rPr>
        <vertAlign val="subscript"/>
        <sz val="16"/>
        <color theme="1"/>
        <rFont val="Arial"/>
        <family val="2"/>
      </rPr>
      <t>TS,ZB</t>
    </r>
  </si>
  <si>
    <r>
      <t>C</t>
    </r>
    <r>
      <rPr>
        <vertAlign val="subscript"/>
        <sz val="16"/>
        <color theme="1"/>
        <rFont val="Arial"/>
        <family val="2"/>
      </rPr>
      <t>CSB,ZB</t>
    </r>
  </si>
  <si>
    <r>
      <t>X</t>
    </r>
    <r>
      <rPr>
        <vertAlign val="subscript"/>
        <sz val="16"/>
        <color theme="1"/>
        <rFont val="Arial"/>
        <family val="2"/>
      </rPr>
      <t>CSB,ZB</t>
    </r>
  </si>
  <si>
    <r>
      <t>X</t>
    </r>
    <r>
      <rPr>
        <vertAlign val="subscript"/>
        <sz val="16"/>
        <color theme="1"/>
        <rFont val="Arial"/>
        <family val="2"/>
      </rPr>
      <t>orgTS,ZB</t>
    </r>
  </si>
  <si>
    <r>
      <t>X</t>
    </r>
    <r>
      <rPr>
        <vertAlign val="subscript"/>
        <sz val="16"/>
        <color theme="1"/>
        <rFont val="Arial"/>
        <family val="2"/>
      </rPr>
      <t>anorgTS,ZB</t>
    </r>
  </si>
  <si>
    <r>
      <t>S</t>
    </r>
    <r>
      <rPr>
        <vertAlign val="subscript"/>
        <sz val="16"/>
        <color theme="1"/>
        <rFont val="Arial"/>
        <family val="2"/>
      </rPr>
      <t>CSB,ZB</t>
    </r>
  </si>
  <si>
    <r>
      <t>S</t>
    </r>
    <r>
      <rPr>
        <vertAlign val="subscript"/>
        <sz val="16"/>
        <color theme="1"/>
        <rFont val="Arial"/>
        <family val="2"/>
      </rPr>
      <t>CSB,inert,ZB</t>
    </r>
  </si>
  <si>
    <r>
      <t>X</t>
    </r>
    <r>
      <rPr>
        <vertAlign val="subscript"/>
        <sz val="16"/>
        <color theme="1"/>
        <rFont val="Arial"/>
        <family val="2"/>
      </rPr>
      <t>CSB,inert,ZB</t>
    </r>
  </si>
  <si>
    <r>
      <t>C</t>
    </r>
    <r>
      <rPr>
        <vertAlign val="subscript"/>
        <sz val="16"/>
        <color theme="1"/>
        <rFont val="Arial"/>
        <family val="2"/>
      </rPr>
      <t>CSB,abb,ZB</t>
    </r>
  </si>
  <si>
    <r>
      <t>X</t>
    </r>
    <r>
      <rPr>
        <vertAlign val="subscript"/>
        <sz val="16"/>
        <color theme="1"/>
        <rFont val="Arial"/>
        <family val="2"/>
      </rPr>
      <t>CSB,abb,ZB</t>
    </r>
  </si>
  <si>
    <r>
      <t>S</t>
    </r>
    <r>
      <rPr>
        <vertAlign val="subscript"/>
        <sz val="16"/>
        <color theme="1"/>
        <rFont val="Arial"/>
        <family val="2"/>
      </rPr>
      <t>CSB,abb,ZB</t>
    </r>
  </si>
  <si>
    <r>
      <t>S</t>
    </r>
    <r>
      <rPr>
        <vertAlign val="subscript"/>
        <sz val="14"/>
        <color theme="1"/>
        <rFont val="Arial"/>
        <family val="2"/>
      </rPr>
      <t>CSB,inert,ZB</t>
    </r>
    <r>
      <rPr>
        <sz val="14"/>
        <color theme="1"/>
        <rFont val="Arial"/>
        <family val="2"/>
      </rPr>
      <t xml:space="preserve"> = 0,05 * C</t>
    </r>
    <r>
      <rPr>
        <vertAlign val="subscript"/>
        <sz val="14"/>
        <color theme="1"/>
        <rFont val="Arial"/>
        <family val="2"/>
      </rPr>
      <t>CSB,ZB</t>
    </r>
  </si>
  <si>
    <r>
      <t>X</t>
    </r>
    <r>
      <rPr>
        <vertAlign val="subscript"/>
        <sz val="14"/>
        <color theme="1"/>
        <rFont val="Arial"/>
        <family val="2"/>
      </rPr>
      <t>CSB,inert,ZB</t>
    </r>
    <r>
      <rPr>
        <sz val="14"/>
        <color theme="1"/>
        <rFont val="Arial"/>
        <family val="2"/>
      </rPr>
      <t xml:space="preserve"> = 0,3 *  X</t>
    </r>
    <r>
      <rPr>
        <vertAlign val="subscript"/>
        <sz val="14"/>
        <color theme="1"/>
        <rFont val="Arial"/>
        <family val="2"/>
      </rPr>
      <t>CSB,ZB</t>
    </r>
  </si>
  <si>
    <r>
      <t>X</t>
    </r>
    <r>
      <rPr>
        <vertAlign val="subscript"/>
        <sz val="14"/>
        <color theme="1"/>
        <rFont val="Arial"/>
        <family val="2"/>
      </rPr>
      <t>anorgTS,ZB</t>
    </r>
    <r>
      <rPr>
        <sz val="14"/>
        <color theme="1"/>
        <rFont val="Arial"/>
        <family val="2"/>
      </rPr>
      <t xml:space="preserve"> = 0,2 *  X</t>
    </r>
    <r>
      <rPr>
        <vertAlign val="subscript"/>
        <sz val="14"/>
        <color theme="1"/>
        <rFont val="Arial"/>
        <family val="2"/>
      </rPr>
      <t>TS,ZB</t>
    </r>
  </si>
  <si>
    <t>Zulauffrachten zur Belebungsstufe werden aus den Frachten im Zulauf zur KA unter Berücksichtigung der Abscheideleistungen für 1h Aufenthaltszeit des Abwassers in der Vorklärung gemäß  Tab. 2 in DWA-A 131 ermittelt.</t>
  </si>
  <si>
    <t>Tägliche KN-Fracht im Zulauf zur Belebungsstufe</t>
  </si>
  <si>
    <r>
      <t>Wenn S</t>
    </r>
    <r>
      <rPr>
        <vertAlign val="subscript"/>
        <sz val="10"/>
        <color theme="1"/>
        <rFont val="Arial"/>
        <family val="2"/>
      </rPr>
      <t>CSB,ZB</t>
    </r>
    <r>
      <rPr>
        <sz val="10"/>
        <color theme="1"/>
        <rFont val="Arial"/>
        <family val="2"/>
      </rPr>
      <t xml:space="preserve"> nicht bekannt ist, aber X</t>
    </r>
    <r>
      <rPr>
        <vertAlign val="subscript"/>
        <sz val="10"/>
        <color theme="1"/>
        <rFont val="Arial"/>
        <family val="2"/>
      </rPr>
      <t>TS,ZB</t>
    </r>
    <r>
      <rPr>
        <sz val="10"/>
        <color theme="1"/>
        <rFont val="Arial"/>
        <family val="2"/>
      </rPr>
      <t xml:space="preserve"> gemessen wurde, kann der partikuläre CSB aus der organischen Trockensubstanz zu 1,6 g CSB/g oTS abgeschätzt werden.</t>
    </r>
  </si>
  <si>
    <t>Die Bemessung von Belebungsanlagen erfolgt iterativ, weil viele Faktoren sich gegenseitig beeinflussen, siehe Bild 3. Der im Folgenden aufgezeigte Berechnungsweg stellt praktisch einen Rechenlauf dar, nach dessen Abschluss es erforderlich werden kann, die Berechnungen mit neuen Annahmen zu wiederholen.</t>
  </si>
  <si>
    <r>
      <t xml:space="preserve">Ermittlung des erforderlichen Prozessfaktors (PF) unter Berücksichtigung des Anschlusswerts und gegebenenfalls der gemessenen Zulaufschwankungen.  </t>
    </r>
    <r>
      <rPr>
        <sz val="12"/>
        <color theme="0" tint="-0.249977111117893"/>
        <rFont val="Arial"/>
        <family val="2"/>
      </rPr>
      <t>Für Anlagen, die nur auf Nitrifikation auszulegen sind, ist das Schlammalter (t</t>
    </r>
    <r>
      <rPr>
        <vertAlign val="subscript"/>
        <sz val="12"/>
        <color theme="0" tint="-0.249977111117893"/>
        <rFont val="Arial"/>
        <family val="2"/>
      </rPr>
      <t>TS,aerob,Bem</t>
    </r>
    <r>
      <rPr>
        <sz val="12"/>
        <color theme="0" tint="-0.249977111117893"/>
        <rFont val="Arial"/>
        <family val="2"/>
      </rPr>
      <t>) unter Berücksichtigung der Bemessungstemperatur zu bestimmen. Beides entfällt bei aerober Schlammstabilisierung.</t>
    </r>
  </si>
  <si>
    <t>Bei Anlagen zur Stickstoffelimination ist anhand einer Stickstoffbilanz die Masse an zu denitrifizierendem Nitrat zu ermitteln. Wenn nicht eine prozentuale N-Elimination, sondern ein Konzentrationswert einzuhalten ist, ist die Zulaufkonzentration von hohem Einfluss.</t>
  </si>
  <si>
    <r>
      <t>Unter Berücksichtigung des geplanten Denitrifikationsverfahrens ist der erforderliche Anteil des Denitrifikationsvolumens am Belebungsbeckenvolumen (V</t>
    </r>
    <r>
      <rPr>
        <vertAlign val="subscript"/>
        <sz val="12"/>
        <color theme="1"/>
        <rFont val="Arial"/>
        <family val="2"/>
      </rPr>
      <t>D</t>
    </r>
    <r>
      <rPr>
        <sz val="12"/>
        <color theme="1"/>
        <rFont val="Arial"/>
        <family val="2"/>
      </rPr>
      <t>/V</t>
    </r>
    <r>
      <rPr>
        <vertAlign val="subscript"/>
        <sz val="12"/>
        <color theme="1"/>
        <rFont val="Arial"/>
        <family val="2"/>
      </rPr>
      <t>BB</t>
    </r>
    <r>
      <rPr>
        <sz val="12"/>
        <color theme="1"/>
        <rFont val="Arial"/>
        <family val="2"/>
      </rPr>
      <t>) zu bestimmen. Das Schlammalter (t</t>
    </r>
    <r>
      <rPr>
        <vertAlign val="subscript"/>
        <sz val="12"/>
        <color theme="1"/>
        <rFont val="Arial"/>
        <family val="2"/>
      </rPr>
      <t>TS,Bem</t>
    </r>
    <r>
      <rPr>
        <sz val="12"/>
        <color theme="1"/>
        <rFont val="Arial"/>
        <family val="2"/>
      </rPr>
      <t>) ist entsprechend zu berechnen. Für gemeinsame aerobe Schlammstabilisierung ist das Schlammalter entsprechend der maßgebenden Abwassertemperatur zu wählen.</t>
    </r>
  </si>
  <si>
    <r>
      <t>Ermittlung der Schlammproduktion (ÜS</t>
    </r>
    <r>
      <rPr>
        <vertAlign val="subscript"/>
        <sz val="12"/>
        <color theme="1"/>
        <rFont val="Arial"/>
        <family val="2"/>
      </rPr>
      <t>d</t>
    </r>
    <r>
      <rPr>
        <sz val="12"/>
        <color theme="1"/>
        <rFont val="Arial"/>
        <family val="2"/>
      </rPr>
      <t>), gegebenenfalls unter Berücksichtigung der Phosphorelimination und des eventuell zur Denitrifikation in der Phase der maßgebenden Belastung dosierten externen Kohlenstoffs.</t>
    </r>
  </si>
  <si>
    <r>
      <t>Berechnung der erforderlichen Masse an Schlammtrockensubstanz (M</t>
    </r>
    <r>
      <rPr>
        <vertAlign val="subscript"/>
        <sz val="12"/>
        <color theme="1"/>
        <rFont val="Arial"/>
        <family val="2"/>
      </rPr>
      <t>TS,BB</t>
    </r>
    <r>
      <rPr>
        <sz val="12"/>
        <color theme="1"/>
        <rFont val="Arial"/>
        <family val="2"/>
      </rPr>
      <t>) für das notwendige
Schlammalter.</t>
    </r>
  </si>
  <si>
    <t>Annahme des Schlammindexes unter Berücksichtigung der Abwasserzusammensetzung und der Konfiguration der Abwasserreinigung (z. B. vorgeschalteter aerober Selektor oder anaerobes Mischbecken).</t>
  </si>
  <si>
    <r>
      <t>Ermittlung des Trockensubstanzgehalts im Bodenschlamm (TS</t>
    </r>
    <r>
      <rPr>
        <vertAlign val="subscript"/>
        <sz val="12"/>
        <color theme="1"/>
        <rFont val="Arial"/>
        <family val="2"/>
      </rPr>
      <t>BS</t>
    </r>
    <r>
      <rPr>
        <sz val="12"/>
        <color theme="1"/>
        <rFont val="Arial"/>
        <family val="2"/>
      </rPr>
      <t>) als Funktion von Schlammindex
(ISV) und Eindickzeit (t</t>
    </r>
    <r>
      <rPr>
        <vertAlign val="subscript"/>
        <sz val="12"/>
        <color theme="1"/>
        <rFont val="Arial"/>
        <family val="2"/>
      </rPr>
      <t>E</t>
    </r>
    <r>
      <rPr>
        <sz val="12"/>
        <color theme="1"/>
        <rFont val="Arial"/>
        <family val="2"/>
      </rPr>
      <t>).</t>
    </r>
  </si>
  <si>
    <r>
      <t>Ermittlung des Trockensubstanzgehalts im Rücklaufschlamm (TS</t>
    </r>
    <r>
      <rPr>
        <vertAlign val="subscript"/>
        <sz val="12"/>
        <color theme="1"/>
        <rFont val="Arial"/>
        <family val="2"/>
      </rPr>
      <t>RS</t>
    </r>
    <r>
      <rPr>
        <sz val="12"/>
        <color theme="1"/>
        <rFont val="Arial"/>
        <family val="2"/>
      </rPr>
      <t>) aus dem erreichbaren Trockensubstanzgehalt im Bodenschlamm (TS</t>
    </r>
    <r>
      <rPr>
        <vertAlign val="subscript"/>
        <sz val="12"/>
        <color theme="1"/>
        <rFont val="Arial"/>
        <family val="2"/>
      </rPr>
      <t>BS</t>
    </r>
    <r>
      <rPr>
        <sz val="12"/>
        <color theme="1"/>
        <rFont val="Arial"/>
        <family val="2"/>
      </rPr>
      <t>) und der Verdünnung des Räumvolumenstroms in Abhängigkeit vom gewählten Räumsystem.</t>
    </r>
  </si>
  <si>
    <r>
      <t>Wahl des Rücklaufverhältnisses (RV) und Abschätzen des zulässigen Trockensubstanzgehalts
des belebten Schlamms (TS</t>
    </r>
    <r>
      <rPr>
        <vertAlign val="subscript"/>
        <sz val="12"/>
        <color theme="1"/>
        <rFont val="Arial"/>
        <family val="2"/>
      </rPr>
      <t>BB</t>
    </r>
    <r>
      <rPr>
        <sz val="12"/>
        <color theme="1"/>
        <rFont val="Arial"/>
        <family val="2"/>
      </rPr>
      <t>).
Der Trockensubstanzgehalt des belebten Schlamms beeinflusst die Volumina von Belebungsbecken und Nachklärbecken gegenläufig. Zu beachten ist, dass das Volumen des Belebungsbeckens mit steigendem TS</t>
    </r>
    <r>
      <rPr>
        <vertAlign val="subscript"/>
        <sz val="12"/>
        <color theme="1"/>
        <rFont val="Arial"/>
        <family val="2"/>
      </rPr>
      <t>BB</t>
    </r>
    <r>
      <rPr>
        <sz val="12"/>
        <color theme="1"/>
        <rFont val="Arial"/>
        <family val="2"/>
      </rPr>
      <t xml:space="preserve"> abnimmt, während mit steigendem TS</t>
    </r>
    <r>
      <rPr>
        <vertAlign val="subscript"/>
        <sz val="12"/>
        <color theme="1"/>
        <rFont val="Arial"/>
        <family val="2"/>
      </rPr>
      <t>BB</t>
    </r>
    <r>
      <rPr>
        <sz val="12"/>
        <color theme="1"/>
        <rFont val="Arial"/>
        <family val="2"/>
      </rPr>
      <t xml:space="preserve"> die Oberfläche der Nachklärung und zusätzlich die Tiefe größer werden.</t>
    </r>
  </si>
  <si>
    <r>
      <t>Ermittlung der Nachklärbeckenoberfläche (A</t>
    </r>
    <r>
      <rPr>
        <vertAlign val="subscript"/>
        <sz val="12"/>
        <rFont val="Arial"/>
        <family val="2"/>
      </rPr>
      <t>NB</t>
    </r>
    <r>
      <rPr>
        <sz val="12"/>
        <rFont val="Arial"/>
        <family val="2"/>
      </rPr>
      <t>) aus der zulässigen Flächenbeschickung (q</t>
    </r>
    <r>
      <rPr>
        <vertAlign val="subscript"/>
        <sz val="12"/>
        <rFont val="Arial"/>
        <family val="2"/>
      </rPr>
      <t>A</t>
    </r>
    <r>
      <rPr>
        <sz val="12"/>
        <rFont val="Arial"/>
        <family val="2"/>
      </rPr>
      <t>)
bzw. der Schlammvolumenbeschickung (q</t>
    </r>
    <r>
      <rPr>
        <vertAlign val="subscript"/>
        <sz val="12"/>
        <rFont val="Arial"/>
        <family val="2"/>
      </rPr>
      <t>SV</t>
    </r>
    <r>
      <rPr>
        <sz val="12"/>
        <rFont val="Arial"/>
        <family val="2"/>
      </rPr>
      <t>).</t>
    </r>
  </si>
  <si>
    <t>Gegebenenfalls Bemessung eines anaeroben Mischbeckens für biologische Phosphorelimination.</t>
  </si>
  <si>
    <t>Berechnung der erforderlichen internen Rezirkulation bei vorgeschalteter Denitrifikation oder der Taktdauer bei intermittierenden Denitrifikationsverfahren.</t>
  </si>
  <si>
    <t>Ermittlung des maßgebenden Sauerstoffverbrauchs zur Auslegung der Belüftungseinrichtung.</t>
  </si>
  <si>
    <t>Nachweis der verbleibenden Säurekapazität bzw. des Erfordernisses zur Dosierung von Lauge unter Berücksichtigung von Verbrauch und Gewinn an Säurekapazität aus Ammonifikation, Nitrifikation, Denitrifikation und Phosphatfällung sowie der Sauerstoffausnutzung und Einblastiefe.</t>
  </si>
  <si>
    <t>Gegebenenfalls Bemessung eines aeroben Selektors zur Verbesserung der Absetzeigenschaften des belebten Schlamms.</t>
  </si>
  <si>
    <t>Ablaufwerte gemäß E-Mail BWB, Herr Schulze vom 11/10/2018:</t>
  </si>
  <si>
    <t>Default fractions of COD and solids in the influent of the aeration tank for WWTP Stahnsdorf</t>
  </si>
  <si>
    <r>
      <t>Mischwasserzufluss = Q</t>
    </r>
    <r>
      <rPr>
        <vertAlign val="subscript"/>
        <sz val="10"/>
        <color theme="1"/>
        <rFont val="Arial"/>
        <family val="2"/>
      </rPr>
      <t>d</t>
    </r>
    <r>
      <rPr>
        <sz val="10"/>
        <color theme="1"/>
        <rFont val="Arial"/>
        <family val="2"/>
      </rPr>
      <t xml:space="preserve"> * (1 + 2)</t>
    </r>
  </si>
  <si>
    <r>
      <t>Bei den bisherigen Exkursionen zur KA roch der Zulauf immer stark nach H</t>
    </r>
    <r>
      <rPr>
        <vertAlign val="subscript"/>
        <sz val="10"/>
        <rFont val="Arial"/>
        <family val="2"/>
      </rPr>
      <t>2</t>
    </r>
    <r>
      <rPr>
        <sz val="10"/>
        <rFont val="Arial"/>
        <family val="2"/>
      </rPr>
      <t>S - das ist ein sicheres Zeichen dafür, dass Nitrat / Nitrit auf dem Fließweg zur KA vollständig denitrifiziert wurde</t>
    </r>
  </si>
  <si>
    <t>Wert übernommen aus Zulaufwerten</t>
  </si>
  <si>
    <t>Dieser Wert wird nach dem neuen A 131 nicht mehr aus der gemessenen BSB-Zulauffracht, sondern aus der Fraktionierung des CSB ermittelt. 
Am Beispiel der KA Stahnsdorf bestätigt sich, dass dieser Weg zu einer zutreffenderen Abschätzung der biologisch abbaubaren Organika führt: Nach der Messung ergibt sich ein BSB von 363 mg/l im Zulauf zur Belebung, nach der Fraktionierung beträgt dieser Wert aber 611 mg/l!</t>
  </si>
  <si>
    <r>
      <t>Alle nebenstehenden Berechnungen sind zwar rein rechnerisch exakt, bestätigen aber nur, dass ausreichend BSB für die Denitrifikation vorhanden ist (Bedarf hat negatives Vorzeichen). Für S</t>
    </r>
    <r>
      <rPr>
        <vertAlign val="subscript"/>
        <sz val="10"/>
        <color theme="1"/>
        <rFont val="Arial"/>
        <family val="2"/>
      </rPr>
      <t>NO3,D,Ext</t>
    </r>
    <r>
      <rPr>
        <sz val="10"/>
        <color theme="1"/>
        <rFont val="Arial"/>
        <family val="2"/>
      </rPr>
      <t xml:space="preserve"> wird deshalb der Wert auf Null gesetzt!
Insoweit ergeben die Berechnungen abwassertechnisch wenig Sinn. </t>
    </r>
  </si>
  <si>
    <t>D. h., dass ausreichend BSB5 für den Stoffwechsel der Heterotrophen in der Denitrifikation zur Verfügung steht. Allerdings trifft diese Aussage nur zu für die auf Grundlage der CSB-Fraktionierung ermittelte BSB-Zulaufkonzentration. Diese ist fast doppelt so hoch wie der Messwert.  In Praxi wird aber auch keine C-Quelle benötigt. Das bestätigt die Vermutung, dass die zulaufende BSB5-Fracht deutlich zu niedrig gemessen wurde.</t>
  </si>
  <si>
    <t>Berechnen des Denitrifikationspotenzials / externe C-Quelle</t>
  </si>
  <si>
    <t>Überschussschlammanfall, Trockensubstanzgehalt des ÜSS</t>
  </si>
  <si>
    <t>Trockensubstanz im Belebungsbecken, Nitrifikations- und Denitrifikationsvolumina, Raumbelastung, Schlammbelastung</t>
  </si>
  <si>
    <t>Schlammindex, Eindickzeit, Trockensubstanz im Belebungsbecken, Boden- und Rücklaufschlamm, Rücklaufverhältnis</t>
  </si>
  <si>
    <t>Betreiber-angaben</t>
  </si>
  <si>
    <t>Zulaufwerte</t>
  </si>
  <si>
    <t>Berechnung mit CSB ergibt deutlich höheres Ergebnis!
Grund: BSB ist trotz der Wahl eines höheren Werts als der von den BWB genannte Messwert immer noch zu niedrig ausgewiesen, da der Ablauf-CSB so gering ist.</t>
  </si>
  <si>
    <r>
      <t>OV</t>
    </r>
    <r>
      <rPr>
        <b/>
        <vertAlign val="subscript"/>
        <sz val="10"/>
        <color theme="1"/>
        <rFont val="Arial"/>
        <family val="2"/>
      </rPr>
      <t>C</t>
    </r>
  </si>
  <si>
    <t>Konzentration des Sauerstoffverbrauchs für Kohlenstoffelimination</t>
  </si>
  <si>
    <t>Bezeichnung und Berechnung nach ATV-DVWK-A 131 (alt)</t>
  </si>
  <si>
    <t>Bezeichnung und Berechnung nach DWA-A 131 (neu)</t>
  </si>
  <si>
    <r>
      <t>V</t>
    </r>
    <r>
      <rPr>
        <b/>
        <vertAlign val="subscript"/>
        <sz val="10"/>
        <color theme="1"/>
        <rFont val="Arial"/>
        <family val="2"/>
      </rPr>
      <t>Luft,OC</t>
    </r>
  </si>
  <si>
    <t>Erforderliche Gebläseleistung der Belüftung (Luftzufuhr)</t>
  </si>
  <si>
    <t>engl</t>
  </si>
  <si>
    <t>deu</t>
  </si>
  <si>
    <r>
      <t>Überprüfung h</t>
    </r>
    <r>
      <rPr>
        <vertAlign val="subscript"/>
        <sz val="10"/>
        <color theme="1"/>
        <rFont val="Arial"/>
        <family val="2"/>
      </rPr>
      <t>ges</t>
    </r>
    <r>
      <rPr>
        <sz val="10"/>
        <color theme="1"/>
        <rFont val="Arial"/>
        <family val="2"/>
      </rPr>
      <t xml:space="preserve"> auf 2/3 des Fließweges </t>
    </r>
    <r>
      <rPr>
        <sz val="10"/>
        <color theme="1"/>
        <rFont val="Calibri"/>
        <family val="2"/>
      </rPr>
      <t>≥</t>
    </r>
    <r>
      <rPr>
        <sz val="10"/>
        <color theme="1"/>
        <rFont val="Arial"/>
        <family val="2"/>
      </rPr>
      <t xml:space="preserve"> 3,00 m
</t>
    </r>
    <r>
      <rPr>
        <sz val="10"/>
        <color theme="1"/>
        <rFont val="Symbol"/>
        <family val="1"/>
        <charset val="2"/>
      </rPr>
      <t>Æ</t>
    </r>
    <r>
      <rPr>
        <sz val="10"/>
        <color theme="1"/>
        <rFont val="Arial"/>
        <family val="2"/>
      </rPr>
      <t xml:space="preserve"> NKB = 40 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</si>
</sst>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164" formatCode="#,##0&quot; mg/l&quot;"/>
    <numFmt numFmtId="165" formatCode="0&quot; d&quot;"/>
    <numFmt numFmtId="166" formatCode="0&quot; °C&quot;"/>
    <numFmt numFmtId="167" formatCode="#,##0&quot; kg TS/d&quot;"/>
    <numFmt numFmtId="168" formatCode="#,##0&quot; kg/d&quot;"/>
    <numFmt numFmtId="169" formatCode="0.00&quot; kg TS/kg BSB5&quot;"/>
    <numFmt numFmtId="170" formatCode="#,##0&quot; kg&quot;"/>
    <numFmt numFmtId="171" formatCode="#,##0&quot; m³&quot;"/>
    <numFmt numFmtId="172" formatCode="#,##0&quot; kg O2/d&quot;"/>
    <numFmt numFmtId="173" formatCode="#,##0&quot; kg O2/h&quot;"/>
    <numFmt numFmtId="174" formatCode="#,##0.00&quot; mg/l&quot;"/>
    <numFmt numFmtId="175" formatCode="#,##0&quot; mmol/l&quot;"/>
    <numFmt numFmtId="176" formatCode="#,##0.0&quot; mg/l&quot;"/>
    <numFmt numFmtId="177" formatCode="#,##0&quot; m³/d&quot;"/>
    <numFmt numFmtId="178" formatCode="0.0&quot; mg/l&quot;"/>
    <numFmt numFmtId="179" formatCode="0&quot; mg/l&quot;"/>
    <numFmt numFmtId="180" formatCode="#,##0&quot; E&quot;"/>
    <numFmt numFmtId="181" formatCode="#,##0&quot; l/s&quot;"/>
    <numFmt numFmtId="182" formatCode="&quot;= &quot;#,##0&quot; m³&quot;"/>
    <numFmt numFmtId="183" formatCode="&quot;= &quot;0.0&quot; m/h&quot;"/>
    <numFmt numFmtId="184" formatCode="&quot;= &quot;0.0&quot; h&quot;"/>
    <numFmt numFmtId="185" formatCode="&quot;= &quot;#,##0&quot; m²&quot;"/>
    <numFmt numFmtId="186" formatCode="&quot;= &quot;#,##0.0&quot; m²&quot;"/>
    <numFmt numFmtId="187" formatCode="&quot;= &quot;0.00&quot; m&quot;"/>
    <numFmt numFmtId="188" formatCode="&quot;= &quot;#,##0&quot; m³/h&quot;"/>
    <numFmt numFmtId="189" formatCode="&quot;= &quot;#,##0.0&quot; kg/h&quot;"/>
    <numFmt numFmtId="190" formatCode="&quot;= &quot;#,##0&quot; kg/m³&quot;"/>
    <numFmt numFmtId="191" formatCode="&quot;= &quot;#,##0.0&quot; kg/m³&quot;"/>
    <numFmt numFmtId="192" formatCode="&quot;= &quot;#,##0&quot; l/kg&quot;"/>
    <numFmt numFmtId="193" formatCode="&quot;= &quot;#,##0&quot; l/m³&quot;"/>
    <numFmt numFmtId="194" formatCode="&quot;= &quot;#,##0&quot; l/(m² * h)&quot;"/>
    <numFmt numFmtId="195" formatCode="&quot;= &quot;#,##0.0&quot; m/h&quot;"/>
    <numFmt numFmtId="196" formatCode="&quot;= &quot;#,##0.00&quot; m&quot;"/>
    <numFmt numFmtId="197" formatCode="&quot;= &quot;0.0&quot; d&quot;"/>
    <numFmt numFmtId="198" formatCode="&quot;= &quot;#,##0&quot; kg&quot;"/>
    <numFmt numFmtId="199" formatCode="&quot;= &quot;#,##0.00&quot; kg BSB5/(m³*d)&quot;"/>
    <numFmt numFmtId="200" formatCode="&quot;= &quot;#,##0.00&quot; kg BSB5/(kg TS*d)&quot;"/>
    <numFmt numFmtId="201" formatCode="&quot;= &quot;0.0&quot; mg/l&quot;"/>
    <numFmt numFmtId="202" formatCode="0.0"/>
    <numFmt numFmtId="203" formatCode="&quot;= &quot;#,##0&quot; kg O2/d&quot;"/>
    <numFmt numFmtId="204" formatCode="&quot;= &quot;#,##0&quot; m³/d&quot;"/>
    <numFmt numFmtId="205" formatCode="0.00&quot; d&quot;"/>
    <numFmt numFmtId="206" formatCode="&quot;= &quot;#,##0.0&quot; kg/d&quot;"/>
    <numFmt numFmtId="207" formatCode="&quot;= &quot;#,##0&quot; mg/l&quot;"/>
    <numFmt numFmtId="208" formatCode="0.00&quot; kg NO3-N/kg BSB5&quot;"/>
    <numFmt numFmtId="209" formatCode="&quot;= &quot;#,##0&quot; kg/d&quot;"/>
    <numFmt numFmtId="210" formatCode="&quot;= &quot;#,##0.00&quot; m³/d&quot;"/>
    <numFmt numFmtId="211" formatCode="0.0&quot; d&quot;"/>
    <numFmt numFmtId="212" formatCode="&quot;= &quot;#,##0.0&quot; mg/l&quot;"/>
    <numFmt numFmtId="213" formatCode="&quot;= &quot;#,##0.0&quot; mmol/l&quot;"/>
    <numFmt numFmtId="214" formatCode="0.000"/>
    <numFmt numFmtId="215" formatCode="0.0&quot; g TKN/(E*d)&quot;"/>
    <numFmt numFmtId="216" formatCode="0&quot; l/E*d&quot;"/>
    <numFmt numFmtId="217" formatCode="0.0&quot; g BSB/(E*d)&quot;"/>
    <numFmt numFmtId="218" formatCode="0.0&quot; g P/(E*d)&quot;"/>
    <numFmt numFmtId="219" formatCode="0.0&quot; g TS/(E*d)&quot;"/>
    <numFmt numFmtId="220" formatCode="0.0&quot; g CSB/(E*d)&quot;"/>
    <numFmt numFmtId="221" formatCode="0.00&quot; t/d&quot;"/>
    <numFmt numFmtId="222" formatCode="0.0%"/>
    <numFmt numFmtId="223" formatCode="&quot;= &quot;0&quot; mg/l&quot;"/>
    <numFmt numFmtId="224" formatCode="0.0&quot; t/d&quot;"/>
    <numFmt numFmtId="225" formatCode="&quot;= &quot;0.0&quot; t/d&quot;"/>
    <numFmt numFmtId="226" formatCode="0&quot; g CSB/(E*d)&quot;"/>
    <numFmt numFmtId="227" formatCode="0&quot; g TS/(E*d)&quot;"/>
    <numFmt numFmtId="228" formatCode="0&quot; mg CSB/l&quot;"/>
    <numFmt numFmtId="229" formatCode="0&quot; mg TS/l&quot;"/>
    <numFmt numFmtId="230" formatCode="#,##0&quot; mg COD/l&quot;"/>
    <numFmt numFmtId="231" formatCode="#,##0&quot; mg TSS/l&quot;"/>
    <numFmt numFmtId="232" formatCode="0&quot; g/capita*day&quot;"/>
    <numFmt numFmtId="233" formatCode="#,##0.00&quot; m³/d&quot;"/>
    <numFmt numFmtId="234" formatCode="#,##0&quot; m³ Luft/h&quot;"/>
    <numFmt numFmtId="235" formatCode="&quot;= &quot;#,##0.00&quot; m/h&quot;"/>
  </numFmts>
  <fonts count="10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8"/>
      <name val="Arial"/>
      <family val="2"/>
    </font>
    <font>
      <vertAlign val="subscript"/>
      <sz val="10"/>
      <color indexed="8"/>
      <name val="Arial"/>
      <family val="2"/>
    </font>
    <font>
      <b/>
      <vertAlign val="subscript"/>
      <sz val="10"/>
      <color indexed="8"/>
      <name val="Arial"/>
      <family val="2"/>
    </font>
    <font>
      <b/>
      <sz val="10"/>
      <color indexed="8"/>
      <name val="Symbol"/>
      <family val="1"/>
      <charset val="2"/>
    </font>
    <font>
      <sz val="10"/>
      <name val="MS Sans Serif"/>
      <family val="2"/>
    </font>
    <font>
      <sz val="10"/>
      <name val="MS Sans Serif"/>
      <family val="2"/>
    </font>
    <font>
      <sz val="14"/>
      <color indexed="8"/>
      <name val="Arial"/>
      <family val="2"/>
    </font>
    <font>
      <vertAlign val="subscript"/>
      <sz val="14"/>
      <color indexed="8"/>
      <name val="Arial"/>
      <family val="2"/>
    </font>
    <font>
      <b/>
      <sz val="10"/>
      <name val="Arial"/>
      <family val="2"/>
    </font>
    <font>
      <sz val="16"/>
      <color indexed="8"/>
      <name val="Arial"/>
      <family val="2"/>
    </font>
    <font>
      <vertAlign val="subscript"/>
      <sz val="16"/>
      <color indexed="8"/>
      <name val="Arial"/>
      <family val="2"/>
    </font>
    <font>
      <sz val="10"/>
      <color indexed="10"/>
      <name val="Arial"/>
      <family val="2"/>
    </font>
    <font>
      <sz val="10"/>
      <color indexed="8"/>
      <name val="Symbol"/>
      <family val="1"/>
      <charset val="2"/>
    </font>
    <font>
      <vertAlign val="subscript"/>
      <sz val="10"/>
      <color indexed="10"/>
      <name val="Arial"/>
      <family val="2"/>
    </font>
    <font>
      <sz val="10"/>
      <color indexed="10"/>
      <name val="Symbol"/>
      <family val="1"/>
      <charset val="2"/>
    </font>
    <font>
      <b/>
      <sz val="10"/>
      <color rgb="FFFA7D00"/>
      <name val="Arial"/>
      <family val="2"/>
    </font>
    <font>
      <sz val="10"/>
      <color rgb="FF3F3F76"/>
      <name val="Arial"/>
      <family val="2"/>
    </font>
    <font>
      <b/>
      <sz val="10"/>
      <color theme="1"/>
      <name val="Arial"/>
      <family val="2"/>
    </font>
    <font>
      <sz val="10"/>
      <color rgb="FF006100"/>
      <name val="Arial"/>
      <family val="2"/>
    </font>
    <font>
      <sz val="10"/>
      <color rgb="FFFA7D00"/>
      <name val="Arial"/>
      <family val="2"/>
    </font>
    <font>
      <b/>
      <sz val="16"/>
      <color theme="1"/>
      <name val="Arial"/>
      <family val="2"/>
    </font>
    <font>
      <b/>
      <sz val="14"/>
      <color theme="1"/>
      <name val="Arial"/>
      <family val="2"/>
    </font>
    <font>
      <sz val="14"/>
      <color theme="1"/>
      <name val="Arial"/>
      <family val="2"/>
    </font>
    <font>
      <b/>
      <sz val="10"/>
      <color rgb="FF3F3F76"/>
      <name val="Arial"/>
      <family val="2"/>
    </font>
    <font>
      <sz val="16"/>
      <color theme="1"/>
      <name val="Arial"/>
      <family val="2"/>
    </font>
    <font>
      <b/>
      <vertAlign val="subscript"/>
      <sz val="10"/>
      <color theme="1"/>
      <name val="Arial"/>
      <family val="2"/>
    </font>
    <font>
      <vertAlign val="subscript"/>
      <sz val="10"/>
      <color theme="1"/>
      <name val="Arial"/>
      <family val="2"/>
    </font>
    <font>
      <i/>
      <sz val="10"/>
      <color theme="1"/>
      <name val="Arial"/>
      <family val="2"/>
    </font>
    <font>
      <b/>
      <i/>
      <u/>
      <sz val="10"/>
      <color theme="1"/>
      <name val="Arial"/>
      <family val="2"/>
    </font>
    <font>
      <b/>
      <sz val="12"/>
      <color theme="1"/>
      <name val="Arial"/>
      <family val="2"/>
    </font>
    <font>
      <u/>
      <sz val="10"/>
      <color theme="10"/>
      <name val="Arial"/>
      <family val="2"/>
    </font>
    <font>
      <sz val="10"/>
      <name val="Arial"/>
      <family val="2"/>
    </font>
    <font>
      <vertAlign val="subscript"/>
      <sz val="10"/>
      <name val="Arial"/>
      <family val="2"/>
    </font>
    <font>
      <sz val="12"/>
      <color theme="1"/>
      <name val="Arial"/>
      <family val="2"/>
    </font>
    <font>
      <vertAlign val="subscript"/>
      <sz val="12"/>
      <color theme="1"/>
      <name val="Arial"/>
      <family val="2"/>
    </font>
    <font>
      <vertAlign val="subscript"/>
      <sz val="14"/>
      <color theme="1"/>
      <name val="Arial"/>
      <family val="2"/>
    </font>
    <font>
      <sz val="10"/>
      <color theme="1"/>
      <name val="Symbol"/>
      <family val="1"/>
      <charset val="2"/>
    </font>
    <font>
      <sz val="12"/>
      <color theme="0" tint="-0.249977111117893"/>
      <name val="Arial"/>
      <family val="2"/>
    </font>
    <font>
      <vertAlign val="subscript"/>
      <sz val="12"/>
      <color theme="0" tint="-0.249977111117893"/>
      <name val="Arial"/>
      <family val="2"/>
    </font>
    <font>
      <sz val="10"/>
      <color theme="0" tint="-0.14999847407452621"/>
      <name val="Arial"/>
      <family val="2"/>
    </font>
    <font>
      <b/>
      <sz val="14"/>
      <color rgb="FF3F3F76"/>
      <name val="Arial"/>
      <family val="2"/>
    </font>
    <font>
      <sz val="14"/>
      <color indexed="8"/>
      <name val="Symbol"/>
      <family val="1"/>
      <charset val="2"/>
    </font>
    <font>
      <sz val="10"/>
      <color rgb="FF0000FF"/>
      <name val="Arial"/>
      <family val="2"/>
    </font>
    <font>
      <b/>
      <sz val="11"/>
      <color rgb="FF3F3F3F"/>
      <name val="Calibri"/>
      <family val="2"/>
      <scheme val="minor"/>
    </font>
    <font>
      <b/>
      <sz val="16"/>
      <color theme="1"/>
      <name val="Symbol"/>
      <family val="1"/>
      <charset val="2"/>
    </font>
    <font>
      <sz val="18"/>
      <color theme="1"/>
      <name val="Symbol"/>
      <family val="1"/>
      <charset val="2"/>
    </font>
    <font>
      <b/>
      <sz val="10"/>
      <color rgb="FF000000"/>
      <name val="Arial"/>
      <family val="2"/>
    </font>
    <font>
      <b/>
      <vertAlign val="subscript"/>
      <sz val="10"/>
      <color rgb="FF000000"/>
      <name val="Arial"/>
      <family val="2"/>
    </font>
    <font>
      <sz val="10"/>
      <color rgb="FF000000"/>
      <name val="Arial"/>
      <family val="2"/>
    </font>
    <font>
      <b/>
      <vertAlign val="subscript"/>
      <sz val="10"/>
      <name val="Arial"/>
      <family val="2"/>
    </font>
    <font>
      <sz val="10"/>
      <color indexed="8"/>
      <name val="Arial"/>
      <family val="2"/>
    </font>
    <font>
      <b/>
      <sz val="10"/>
      <color rgb="FF3F3F3F"/>
      <name val="Calibri"/>
      <family val="2"/>
      <scheme val="minor"/>
    </font>
    <font>
      <i/>
      <vertAlign val="subscript"/>
      <sz val="10"/>
      <color theme="1"/>
      <name val="Arial"/>
      <family val="2"/>
    </font>
    <font>
      <b/>
      <sz val="10"/>
      <color rgb="FF0000FF"/>
      <name val="Arial"/>
      <family val="2"/>
    </font>
    <font>
      <vertAlign val="subscript"/>
      <sz val="10"/>
      <color rgb="FF3F3F76"/>
      <name val="Arial"/>
      <family val="2"/>
    </font>
    <font>
      <sz val="11"/>
      <color rgb="FF9C0006"/>
      <name val="Calibri"/>
      <family val="2"/>
      <scheme val="minor"/>
    </font>
    <font>
      <sz val="11"/>
      <color rgb="FF3F3F3F"/>
      <name val="Calibri"/>
      <family val="2"/>
      <scheme val="minor"/>
    </font>
    <font>
      <strike/>
      <sz val="10"/>
      <color rgb="FF0000FF"/>
      <name val="Arial"/>
      <family val="2"/>
    </font>
    <font>
      <sz val="12"/>
      <color theme="1"/>
      <name val="Calibri"/>
      <family val="2"/>
    </font>
    <font>
      <sz val="10"/>
      <color theme="1"/>
      <name val="Calibri"/>
      <family val="2"/>
      <scheme val="minor"/>
    </font>
    <font>
      <sz val="10"/>
      <color theme="1"/>
      <name val="Calibri"/>
      <family val="2"/>
    </font>
    <font>
      <sz val="10"/>
      <color theme="1"/>
      <name val="Arial"/>
      <family val="2"/>
    </font>
    <font>
      <b/>
      <sz val="11"/>
      <color theme="1"/>
      <name val="Calibri"/>
      <family val="2"/>
      <scheme val="minor"/>
    </font>
    <font>
      <b/>
      <sz val="11"/>
      <color rgb="FF212121"/>
      <name val="Calibri"/>
      <family val="2"/>
      <scheme val="minor"/>
    </font>
    <font>
      <sz val="11"/>
      <color rgb="FF21212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11"/>
      <color theme="1"/>
      <name val="Arial"/>
      <family val="2"/>
    </font>
    <font>
      <b/>
      <sz val="11"/>
      <color rgb="FF070707"/>
      <name val="Arial"/>
      <family val="2"/>
    </font>
    <font>
      <sz val="11"/>
      <color rgb="FF3F3F76"/>
      <name val="Calibri"/>
      <family val="2"/>
      <scheme val="minor"/>
    </font>
    <font>
      <b/>
      <sz val="11"/>
      <color rgb="FF3F3F76"/>
      <name val="Calibri"/>
      <family val="2"/>
      <scheme val="minor"/>
    </font>
    <font>
      <sz val="12"/>
      <color rgb="FF070707"/>
      <name val="Arial"/>
      <family val="2"/>
    </font>
    <font>
      <b/>
      <sz val="11"/>
      <color rgb="FFFA7D00"/>
      <name val="Calibri"/>
      <family val="2"/>
      <scheme val="minor"/>
    </font>
    <font>
      <b/>
      <sz val="11"/>
      <color rgb="FF00B050"/>
      <name val="Arial"/>
      <family val="2"/>
    </font>
    <font>
      <sz val="11"/>
      <color rgb="FFFF0000"/>
      <name val="Arial"/>
      <family val="2"/>
    </font>
    <font>
      <b/>
      <sz val="11"/>
      <color theme="1"/>
      <name val="Arial"/>
      <family val="2"/>
    </font>
    <font>
      <b/>
      <sz val="8"/>
      <name val="Arial"/>
      <family val="2"/>
    </font>
    <font>
      <b/>
      <sz val="11"/>
      <name val="Calibri"/>
      <family val="2"/>
      <scheme val="minor"/>
    </font>
    <font>
      <sz val="16"/>
      <color rgb="FF000000"/>
      <name val="Calibri"/>
      <family val="2"/>
    </font>
    <font>
      <sz val="16"/>
      <name val="Calibri"/>
      <family val="2"/>
      <scheme val="minor"/>
    </font>
    <font>
      <b/>
      <sz val="10"/>
      <color rgb="FF00B050"/>
      <name val="Arial"/>
      <family val="2"/>
    </font>
    <font>
      <sz val="10"/>
      <color rgb="FFFF0000"/>
      <name val="Arial"/>
      <family val="2"/>
    </font>
    <font>
      <b/>
      <vertAlign val="subscript"/>
      <sz val="14"/>
      <color theme="1"/>
      <name val="Arial"/>
      <family val="2"/>
    </font>
    <font>
      <sz val="18"/>
      <color theme="1"/>
      <name val="Arial"/>
      <family val="2"/>
    </font>
    <font>
      <b/>
      <sz val="18"/>
      <color theme="1"/>
      <name val="Arial"/>
      <family val="2"/>
    </font>
    <font>
      <sz val="20"/>
      <color theme="1"/>
      <name val="Cambria Math"/>
      <family val="1"/>
    </font>
    <font>
      <sz val="11"/>
      <color rgb="FF070707"/>
      <name val="Arial"/>
      <family val="2"/>
    </font>
    <font>
      <b/>
      <sz val="11"/>
      <color theme="1"/>
      <name val="Symbol"/>
      <family val="1"/>
      <charset val="2"/>
    </font>
    <font>
      <b/>
      <sz val="11"/>
      <color rgb="FF3F3F76"/>
      <name val="Arial"/>
      <family val="2"/>
    </font>
    <font>
      <sz val="16"/>
      <color rgb="FF000000"/>
      <name val="Calibri"/>
    </font>
    <font>
      <vertAlign val="subscript"/>
      <sz val="16"/>
      <color rgb="FF000000"/>
      <name val="Calibri"/>
    </font>
    <font>
      <vertAlign val="subscript"/>
      <sz val="16"/>
      <color theme="1"/>
      <name val="Arial"/>
      <family val="2"/>
    </font>
    <font>
      <sz val="12"/>
      <name val="Arial"/>
      <family val="2"/>
    </font>
    <font>
      <vertAlign val="subscript"/>
      <sz val="12"/>
      <name val="Arial"/>
      <family val="2"/>
    </font>
    <font>
      <b/>
      <sz val="16"/>
      <name val="Arial"/>
      <family val="2"/>
    </font>
    <font>
      <sz val="16"/>
      <name val="Arial"/>
      <family val="2"/>
    </font>
  </fonts>
  <fills count="18">
    <fill>
      <patternFill patternType="none"/>
    </fill>
    <fill>
      <patternFill patternType="gray125"/>
    </fill>
    <fill>
      <patternFill patternType="solid">
        <fgColor rgb="FFFFCC99"/>
      </patternFill>
    </fill>
    <fill>
      <patternFill patternType="solid">
        <fgColor theme="0" tint="-0.14999847407452621"/>
        <bgColor indexed="64"/>
      </patternFill>
    </fill>
    <fill>
      <patternFill patternType="solid">
        <fgColor rgb="FF66FFFF"/>
        <bgColor indexed="64"/>
      </patternFill>
    </fill>
    <fill>
      <patternFill patternType="solid">
        <fgColor theme="0"/>
        <bgColor indexed="64"/>
      </patternFill>
    </fill>
    <fill>
      <patternFill patternType="solid">
        <fgColor rgb="FFFFFF00"/>
        <bgColor indexed="64"/>
      </patternFill>
    </fill>
    <fill>
      <patternFill patternType="solid">
        <fgColor rgb="FFF2F2F2"/>
      </patternFill>
    </fill>
    <fill>
      <patternFill patternType="solid">
        <fgColor rgb="FFD5FFD5"/>
        <bgColor indexed="64"/>
      </patternFill>
    </fill>
    <fill>
      <patternFill patternType="solid">
        <fgColor rgb="FFD5FFD5"/>
        <bgColor rgb="FF000000"/>
      </patternFill>
    </fill>
    <fill>
      <patternFill patternType="solid">
        <fgColor rgb="FFFFC7CE"/>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theme="0" tint="-0.249977111117893"/>
        <bgColor indexed="64"/>
      </patternFill>
    </fill>
    <fill>
      <patternFill patternType="solid">
        <fgColor rgb="FFE9EDF4"/>
        <bgColor indexed="64"/>
      </patternFill>
    </fill>
    <fill>
      <patternFill patternType="solid">
        <fgColor rgb="FFFFABAB"/>
        <bgColor indexed="64"/>
      </patternFill>
    </fill>
    <fill>
      <patternFill patternType="solid">
        <fgColor rgb="FFFFCC9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rgb="FF0000FF"/>
      </left>
      <right style="thick">
        <color rgb="FF0000FF"/>
      </right>
      <top style="thick">
        <color rgb="FF0000FF"/>
      </top>
      <bottom style="thick">
        <color rgb="FF0000FF"/>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thin">
        <color rgb="FF3F3F3F"/>
      </left>
      <right style="thin">
        <color rgb="FF3F3F3F"/>
      </right>
      <top style="thin">
        <color rgb="FF3F3F3F"/>
      </top>
      <bottom/>
      <diagonal/>
    </border>
    <border>
      <left style="thick">
        <color rgb="FF0000FF"/>
      </left>
      <right style="thick">
        <color rgb="FF0000FF"/>
      </right>
      <top/>
      <bottom style="thick">
        <color rgb="FF0000FF"/>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7F7F7F"/>
      </left>
      <right style="thin">
        <color rgb="FF7F7F7F"/>
      </right>
      <top/>
      <bottom style="thin">
        <color rgb="FF7F7F7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medium">
        <color rgb="FF000000"/>
      </left>
      <right/>
      <top/>
      <bottom style="medium">
        <color rgb="FF000000"/>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top style="medium">
        <color indexed="64"/>
      </top>
      <bottom style="medium">
        <color indexed="64"/>
      </bottom>
      <diagonal/>
    </border>
    <border>
      <left/>
      <right/>
      <top/>
      <bottom style="thin">
        <color rgb="FF7F7F7F"/>
      </bottom>
      <diagonal/>
    </border>
    <border>
      <left style="medium">
        <color rgb="FF000000"/>
      </left>
      <right/>
      <top style="medium">
        <color rgb="FF000000"/>
      </top>
      <bottom/>
      <diagonal/>
    </border>
    <border>
      <left style="medium">
        <color rgb="FF000000"/>
      </left>
      <right/>
      <top/>
      <bottom/>
      <diagonal/>
    </border>
    <border>
      <left style="thin">
        <color rgb="FF7F7F7F"/>
      </left>
      <right style="thin">
        <color rgb="FF7F7F7F"/>
      </right>
      <top style="thin">
        <color rgb="FF7F7F7F"/>
      </top>
      <bottom/>
      <diagonal/>
    </border>
  </borders>
  <cellStyleXfs count="20">
    <xf numFmtId="0" fontId="0" fillId="0" borderId="0"/>
    <xf numFmtId="0" fontId="47" fillId="5" borderId="12" applyNumberFormat="0" applyAlignment="0" applyProtection="0"/>
    <xf numFmtId="0" fontId="21" fillId="2" borderId="3" applyNumberFormat="0" applyAlignment="0" applyProtection="0"/>
    <xf numFmtId="0" fontId="23" fillId="12" borderId="0" applyNumberFormat="0" applyBorder="0" applyAlignment="0" applyProtection="0"/>
    <xf numFmtId="0" fontId="9" fillId="0" borderId="0"/>
    <xf numFmtId="0" fontId="10" fillId="0" borderId="0"/>
    <xf numFmtId="0" fontId="24" fillId="0" borderId="4" applyNumberFormat="0" applyFill="0" applyAlignment="0" applyProtection="0"/>
    <xf numFmtId="0" fontId="35" fillId="0" borderId="0" applyNumberFormat="0" applyFill="0" applyBorder="0" applyAlignment="0" applyProtection="0"/>
    <xf numFmtId="0" fontId="48" fillId="7" borderId="13" applyNumberFormat="0" applyAlignment="0" applyProtection="0"/>
    <xf numFmtId="0" fontId="9" fillId="0" borderId="0"/>
    <xf numFmtId="0" fontId="60" fillId="10" borderId="0" applyNumberFormat="0" applyBorder="0" applyAlignment="0" applyProtection="0"/>
    <xf numFmtId="0" fontId="4" fillId="0" borderId="0"/>
    <xf numFmtId="0" fontId="66" fillId="0" borderId="0"/>
    <xf numFmtId="0" fontId="75" fillId="2" borderId="3" applyNumberFormat="0" applyAlignment="0" applyProtection="0"/>
    <xf numFmtId="0" fontId="78" fillId="7" borderId="3" applyNumberFormat="0" applyAlignment="0" applyProtection="0"/>
    <xf numFmtId="0" fontId="21" fillId="2" borderId="3" applyNumberFormat="0" applyAlignment="0" applyProtection="0"/>
    <xf numFmtId="0" fontId="36" fillId="0" borderId="0"/>
    <xf numFmtId="0" fontId="36" fillId="0" borderId="0"/>
    <xf numFmtId="0" fontId="2" fillId="0" borderId="0"/>
    <xf numFmtId="0" fontId="1" fillId="0" borderId="0"/>
  </cellStyleXfs>
  <cellXfs count="647">
    <xf numFmtId="0" fontId="0" fillId="0" borderId="0" xfId="0"/>
    <xf numFmtId="0" fontId="22" fillId="0" borderId="0" xfId="0" applyFont="1" applyAlignment="1">
      <alignment horizontal="center" vertical="center"/>
    </xf>
    <xf numFmtId="0" fontId="0" fillId="0" borderId="0" xfId="0" applyAlignment="1">
      <alignmen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0" fillId="0" borderId="0" xfId="0" applyAlignment="1">
      <alignment vertical="center"/>
    </xf>
    <xf numFmtId="0" fontId="21" fillId="2" borderId="3" xfId="2" applyAlignment="1">
      <alignment horizontal="center" vertical="center" wrapText="1"/>
    </xf>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0" xfId="0" applyFont="1" applyAlignment="1">
      <alignment horizontal="center" vertical="center" wrapText="1"/>
    </xf>
    <xf numFmtId="0" fontId="0" fillId="0" borderId="0" xfId="0" applyAlignment="1">
      <alignment horizontal="center" vertical="center" wrapText="1"/>
    </xf>
    <xf numFmtId="179" fontId="0" fillId="0" borderId="0" xfId="0" applyNumberFormat="1" applyAlignment="1">
      <alignment horizontal="center" vertical="center" wrapText="1"/>
    </xf>
    <xf numFmtId="167" fontId="47" fillId="5" borderId="1" xfId="1" applyNumberFormat="1" applyBorder="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xf>
    <xf numFmtId="0" fontId="22" fillId="0" borderId="1" xfId="0" applyFont="1" applyBorder="1" applyAlignment="1">
      <alignment vertical="center" wrapText="1"/>
    </xf>
    <xf numFmtId="0" fontId="21" fillId="2" borderId="1" xfId="2" applyBorder="1" applyAlignment="1">
      <alignment horizontal="center" vertical="center" wrapText="1"/>
    </xf>
    <xf numFmtId="165" fontId="13" fillId="0" borderId="1" xfId="6" applyNumberFormat="1" applyFont="1" applyFill="1" applyBorder="1" applyAlignment="1">
      <alignment horizontal="center" vertical="center"/>
    </xf>
    <xf numFmtId="0" fontId="13" fillId="3" borderId="1" xfId="6" applyFont="1" applyFill="1" applyBorder="1" applyAlignment="1">
      <alignment vertical="center"/>
    </xf>
    <xf numFmtId="165" fontId="13" fillId="3" borderId="1" xfId="3" applyNumberFormat="1" applyFont="1" applyFill="1" applyBorder="1" applyAlignment="1">
      <alignment horizontal="center" vertical="center" wrapText="1"/>
    </xf>
    <xf numFmtId="171" fontId="21" fillId="2" borderId="5" xfId="2" applyNumberFormat="1" applyBorder="1" applyAlignment="1">
      <alignment horizontal="center" vertical="center" wrapText="1"/>
    </xf>
    <xf numFmtId="0" fontId="27" fillId="0" borderId="1" xfId="0" applyFont="1" applyBorder="1" applyAlignment="1">
      <alignment horizontal="left" vertical="center" wrapText="1" indent="2"/>
    </xf>
    <xf numFmtId="164" fontId="0" fillId="0" borderId="1" xfId="0" applyNumberFormat="1" applyBorder="1" applyAlignment="1">
      <alignment horizontal="center" vertical="center" wrapText="1"/>
    </xf>
    <xf numFmtId="0" fontId="0" fillId="0" borderId="1" xfId="0" applyBorder="1" applyAlignment="1">
      <alignment horizontal="left" vertical="center" wrapText="1" indent="3"/>
    </xf>
    <xf numFmtId="180" fontId="21" fillId="2" borderId="1" xfId="2" applyNumberFormat="1" applyBorder="1" applyAlignment="1">
      <alignment horizontal="center" vertical="center" wrapText="1"/>
    </xf>
    <xf numFmtId="177" fontId="21" fillId="2" borderId="1" xfId="2" applyNumberFormat="1" applyBorder="1" applyAlignment="1">
      <alignment horizontal="center" vertical="center" wrapText="1"/>
    </xf>
    <xf numFmtId="181" fontId="21" fillId="2" borderId="1" xfId="2" applyNumberFormat="1" applyBorder="1" applyAlignment="1">
      <alignment horizontal="center" vertical="center" wrapText="1"/>
    </xf>
    <xf numFmtId="168" fontId="21" fillId="2" borderId="1" xfId="2" applyNumberFormat="1" applyBorder="1" applyAlignment="1">
      <alignment horizontal="center" vertical="center" wrapText="1"/>
    </xf>
    <xf numFmtId="179" fontId="21" fillId="2" borderId="1" xfId="2" applyNumberFormat="1" applyBorder="1" applyAlignment="1">
      <alignment horizontal="center" vertical="center" wrapText="1"/>
    </xf>
    <xf numFmtId="178" fontId="21" fillId="2" borderId="1" xfId="2" applyNumberFormat="1" applyBorder="1" applyAlignment="1">
      <alignment horizontal="center" vertical="center" wrapText="1"/>
    </xf>
    <xf numFmtId="0" fontId="22" fillId="0" borderId="1" xfId="0" applyFont="1" applyFill="1" applyBorder="1" applyAlignment="1">
      <alignment horizontal="center" vertical="center" wrapText="1"/>
    </xf>
    <xf numFmtId="0" fontId="0" fillId="0" borderId="0" xfId="0" applyBorder="1" applyAlignment="1">
      <alignment vertical="center" wrapText="1"/>
    </xf>
    <xf numFmtId="0" fontId="22" fillId="0" borderId="0" xfId="0" applyFont="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22" fillId="0" borderId="0" xfId="0" applyFont="1" applyAlignment="1">
      <alignment horizontal="center" vertical="center" wrapText="1"/>
    </xf>
    <xf numFmtId="0" fontId="34" fillId="0" borderId="0" xfId="0" applyFont="1" applyAlignment="1">
      <alignment vertical="center" wrapText="1"/>
    </xf>
    <xf numFmtId="0" fontId="34" fillId="0" borderId="0" xfId="0" applyFont="1" applyAlignment="1">
      <alignment horizontal="center" vertical="center" wrapText="1"/>
    </xf>
    <xf numFmtId="0" fontId="26" fillId="0" borderId="0" xfId="0" applyFont="1" applyAlignment="1">
      <alignment vertical="center" wrapText="1"/>
    </xf>
    <xf numFmtId="180" fontId="21" fillId="3" borderId="1" xfId="2" applyNumberFormat="1" applyFill="1" applyBorder="1" applyAlignment="1">
      <alignment horizontal="center" vertical="center" wrapText="1"/>
    </xf>
    <xf numFmtId="179" fontId="21" fillId="3" borderId="1" xfId="2" applyNumberFormat="1" applyFill="1" applyBorder="1" applyAlignment="1">
      <alignment horizontal="center" vertical="center" wrapText="1"/>
    </xf>
    <xf numFmtId="178" fontId="21" fillId="3" borderId="1" xfId="2" applyNumberFormat="1" applyFill="1" applyBorder="1" applyAlignment="1">
      <alignment horizontal="center" vertical="center" wrapText="1"/>
    </xf>
    <xf numFmtId="0" fontId="0" fillId="3" borderId="1" xfId="0" applyFill="1" applyBorder="1" applyAlignment="1">
      <alignment vertical="center" wrapText="1"/>
    </xf>
    <xf numFmtId="179" fontId="0" fillId="3" borderId="1" xfId="0" applyNumberFormat="1" applyFill="1" applyBorder="1" applyAlignment="1">
      <alignment horizontal="center" vertical="center" wrapText="1"/>
    </xf>
    <xf numFmtId="188" fontId="47" fillId="5" borderId="12" xfId="1" applyNumberFormat="1" applyAlignment="1">
      <alignment horizontal="center" vertical="center" wrapText="1"/>
    </xf>
    <xf numFmtId="0" fontId="22" fillId="0" borderId="0" xfId="0" applyFont="1" applyBorder="1" applyAlignment="1">
      <alignment horizontal="center" vertical="center" wrapText="1"/>
    </xf>
    <xf numFmtId="0" fontId="0" fillId="0" borderId="6" xfId="0" applyBorder="1" applyAlignment="1">
      <alignment vertical="center" wrapText="1"/>
    </xf>
    <xf numFmtId="165" fontId="47" fillId="5" borderId="12" xfId="1" applyNumberFormat="1" applyAlignment="1">
      <alignment horizontal="center" vertical="center" wrapText="1"/>
    </xf>
    <xf numFmtId="165" fontId="36" fillId="0" borderId="1" xfId="3" applyNumberFormat="1" applyFont="1" applyFill="1" applyBorder="1" applyAlignment="1">
      <alignment horizontal="left" vertical="center" wrapText="1"/>
    </xf>
    <xf numFmtId="0" fontId="38" fillId="0" borderId="0" xfId="0" applyFont="1"/>
    <xf numFmtId="0" fontId="0" fillId="0" borderId="0" xfId="0" applyAlignment="1">
      <alignment vertical="top"/>
    </xf>
    <xf numFmtId="0" fontId="26" fillId="0" borderId="0" xfId="0" applyFont="1" applyAlignment="1">
      <alignment vertical="top"/>
    </xf>
    <xf numFmtId="0" fontId="38" fillId="0" borderId="1" xfId="0" applyFont="1" applyBorder="1" applyAlignment="1">
      <alignment horizontal="left" vertical="top" wrapText="1"/>
    </xf>
    <xf numFmtId="0" fontId="26" fillId="0" borderId="1" xfId="0" applyFont="1" applyBorder="1" applyAlignment="1">
      <alignment horizontal="left" vertical="top" wrapText="1"/>
    </xf>
    <xf numFmtId="0" fontId="0" fillId="0" borderId="0" xfId="0" applyAlignment="1">
      <alignment horizontal="left" vertical="top" wrapText="1"/>
    </xf>
    <xf numFmtId="0" fontId="38" fillId="0" borderId="1" xfId="0" applyFont="1" applyBorder="1" applyAlignment="1">
      <alignment horizontal="justify" vertical="center"/>
    </xf>
    <xf numFmtId="0" fontId="22" fillId="0" borderId="0" xfId="0" applyFont="1" applyBorder="1" applyAlignment="1">
      <alignment horizontal="left" vertical="center" wrapText="1"/>
    </xf>
    <xf numFmtId="179" fontId="47" fillId="5" borderId="8" xfId="1" applyNumberFormat="1" applyBorder="1" applyAlignment="1">
      <alignment horizontal="center" vertical="center" wrapText="1"/>
    </xf>
    <xf numFmtId="170" fontId="20" fillId="5" borderId="8" xfId="1"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1" xfId="0" applyBorder="1" applyAlignment="1">
      <alignment vertical="center"/>
    </xf>
    <xf numFmtId="179" fontId="47" fillId="5" borderId="1" xfId="1" applyNumberFormat="1" applyBorder="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center" vertical="center"/>
    </xf>
    <xf numFmtId="0" fontId="0" fillId="0" borderId="1" xfId="0" applyFont="1" applyBorder="1" applyAlignment="1">
      <alignment horizontal="left" vertical="center" wrapText="1"/>
    </xf>
    <xf numFmtId="0" fontId="11" fillId="0" borderId="1" xfId="0" applyFont="1" applyBorder="1" applyAlignment="1">
      <alignment horizontal="left" vertical="center" wrapText="1" indent="2"/>
    </xf>
    <xf numFmtId="164" fontId="0" fillId="0" borderId="1" xfId="0" applyNumberFormat="1" applyBorder="1" applyAlignment="1">
      <alignment vertical="center" wrapText="1"/>
    </xf>
    <xf numFmtId="0" fontId="27" fillId="0" borderId="1" xfId="0" applyFont="1" applyBorder="1" applyAlignment="1">
      <alignment horizontal="left" wrapText="1" indent="2"/>
    </xf>
    <xf numFmtId="164" fontId="0" fillId="0" borderId="1" xfId="0" applyNumberFormat="1" applyBorder="1" applyAlignment="1">
      <alignment horizontal="left" vertical="center" wrapText="1"/>
    </xf>
    <xf numFmtId="165" fontId="36" fillId="0" borderId="1" xfId="6" applyNumberFormat="1" applyFont="1" applyFill="1" applyBorder="1" applyAlignment="1">
      <alignment horizontal="left" vertical="top" wrapText="1"/>
    </xf>
    <xf numFmtId="0" fontId="0" fillId="0" borderId="1" xfId="0" applyBorder="1" applyAlignment="1">
      <alignment horizontal="left" wrapText="1"/>
    </xf>
    <xf numFmtId="0" fontId="0" fillId="0" borderId="1" xfId="0" applyBorder="1" applyAlignment="1">
      <alignment horizontal="left" wrapText="1" indent="1"/>
    </xf>
    <xf numFmtId="0" fontId="22" fillId="0" borderId="0" xfId="0" applyFont="1" applyAlignment="1">
      <alignment horizontal="left" vertical="center" wrapText="1"/>
    </xf>
    <xf numFmtId="0" fontId="22" fillId="0" borderId="0" xfId="0" applyFont="1" applyAlignment="1">
      <alignment horizontal="center" vertical="center" wrapText="1"/>
    </xf>
    <xf numFmtId="184" fontId="21" fillId="2" borderId="1" xfId="2" applyNumberFormat="1" applyBorder="1" applyAlignment="1">
      <alignment horizontal="center" vertical="center" wrapText="1"/>
    </xf>
    <xf numFmtId="191" fontId="21" fillId="2" borderId="1" xfId="2" applyNumberFormat="1" applyBorder="1" applyAlignment="1">
      <alignment horizontal="center" vertical="center" wrapText="1"/>
    </xf>
    <xf numFmtId="0" fontId="13" fillId="3" borderId="0" xfId="6" applyFont="1" applyFill="1" applyBorder="1" applyAlignment="1">
      <alignment vertical="center"/>
    </xf>
    <xf numFmtId="0" fontId="0" fillId="0" borderId="1" xfId="0" applyBorder="1" applyAlignment="1">
      <alignment wrapText="1"/>
    </xf>
    <xf numFmtId="192" fontId="21" fillId="2" borderId="1" xfId="2" applyNumberFormat="1" applyBorder="1" applyAlignment="1">
      <alignment horizontal="center" vertical="center" wrapText="1"/>
    </xf>
    <xf numFmtId="0" fontId="0" fillId="0" borderId="1" xfId="0" applyBorder="1" applyAlignment="1">
      <alignment horizontal="left" vertical="center"/>
    </xf>
    <xf numFmtId="0" fontId="29" fillId="0" borderId="1" xfId="0" applyFont="1" applyBorder="1" applyAlignment="1">
      <alignment horizontal="left" vertical="center" wrapText="1" indent="4"/>
    </xf>
    <xf numFmtId="194" fontId="21" fillId="2" borderId="3" xfId="2" applyNumberFormat="1" applyAlignment="1">
      <alignment horizontal="center" vertical="center" wrapText="1"/>
    </xf>
    <xf numFmtId="193" fontId="47" fillId="5" borderId="12" xfId="1" applyNumberFormat="1" applyAlignment="1">
      <alignment horizontal="center" vertical="center" wrapText="1"/>
    </xf>
    <xf numFmtId="196" fontId="21" fillId="2" borderId="1" xfId="2" applyNumberFormat="1" applyBorder="1" applyAlignment="1">
      <alignment horizontal="center" vertical="center" wrapText="1"/>
    </xf>
    <xf numFmtId="179" fontId="47" fillId="5" borderId="1" xfId="1" applyNumberFormat="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textRotation="90" wrapText="1"/>
    </xf>
    <xf numFmtId="0" fontId="0" fillId="0" borderId="1" xfId="0" applyBorder="1" applyAlignment="1">
      <alignment vertical="top" wrapText="1"/>
    </xf>
    <xf numFmtId="198" fontId="47" fillId="5" borderId="12" xfId="1" applyNumberFormat="1" applyAlignment="1">
      <alignment horizontal="center" vertical="center" wrapText="1"/>
    </xf>
    <xf numFmtId="171" fontId="24" fillId="0" borderId="0" xfId="6" applyNumberFormat="1" applyFill="1" applyBorder="1" applyAlignment="1">
      <alignment horizontal="center" vertical="center" wrapText="1"/>
    </xf>
    <xf numFmtId="171" fontId="24" fillId="0" borderId="8" xfId="6" applyNumberFormat="1" applyFill="1" applyBorder="1" applyAlignment="1">
      <alignment horizontal="center" vertical="center" wrapText="1"/>
    </xf>
    <xf numFmtId="171" fontId="47" fillId="5" borderId="5" xfId="1" applyNumberFormat="1" applyBorder="1" applyAlignment="1">
      <alignment horizontal="center" vertical="center" wrapText="1"/>
    </xf>
    <xf numFmtId="0" fontId="0" fillId="0" borderId="0" xfId="0" applyFill="1" applyBorder="1" applyAlignment="1">
      <alignment vertical="top" wrapText="1"/>
    </xf>
    <xf numFmtId="199" fontId="47" fillId="5" borderId="12" xfId="1" applyNumberFormat="1" applyAlignment="1">
      <alignment horizontal="center" vertical="center" wrapText="1"/>
    </xf>
    <xf numFmtId="200" fontId="47" fillId="5" borderId="12" xfId="1" applyNumberFormat="1" applyAlignment="1">
      <alignment horizontal="center" vertical="center" wrapText="1"/>
    </xf>
    <xf numFmtId="182" fontId="47" fillId="5" borderId="12" xfId="1" applyNumberFormat="1" applyAlignment="1">
      <alignment horizontal="center" vertical="center" wrapText="1"/>
    </xf>
    <xf numFmtId="166" fontId="21" fillId="2" borderId="1" xfId="2" applyNumberFormat="1" applyBorder="1" applyAlignment="1">
      <alignment horizontal="center" vertical="center" wrapText="1"/>
    </xf>
    <xf numFmtId="201" fontId="47" fillId="5" borderId="12" xfId="1" applyNumberFormat="1" applyAlignment="1">
      <alignment horizontal="center" vertical="center" wrapText="1"/>
    </xf>
    <xf numFmtId="2" fontId="47" fillId="5" borderId="12" xfId="1" applyNumberFormat="1" applyAlignment="1">
      <alignment horizontal="center" vertical="center" wrapText="1"/>
    </xf>
    <xf numFmtId="0" fontId="0" fillId="0" borderId="1" xfId="0" applyFont="1" applyBorder="1" applyAlignment="1">
      <alignment horizontal="left" wrapText="1" indent="1"/>
    </xf>
    <xf numFmtId="176" fontId="47" fillId="5" borderId="12" xfId="1" applyNumberFormat="1" applyAlignment="1">
      <alignment horizontal="center" vertical="center" wrapText="1"/>
    </xf>
    <xf numFmtId="176" fontId="21" fillId="2" borderId="3" xfId="2" applyNumberFormat="1" applyAlignment="1">
      <alignment horizontal="center"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13" fillId="3" borderId="8" xfId="6" applyFont="1" applyFill="1" applyBorder="1" applyAlignment="1">
      <alignment vertical="center"/>
    </xf>
    <xf numFmtId="0" fontId="22" fillId="0" borderId="0" xfId="0" applyFont="1" applyBorder="1" applyAlignment="1">
      <alignment horizontal="center" vertical="center"/>
    </xf>
    <xf numFmtId="202" fontId="47" fillId="5" borderId="12" xfId="1" applyNumberFormat="1" applyFont="1" applyAlignment="1">
      <alignment horizontal="center" vertical="center" wrapText="1"/>
    </xf>
    <xf numFmtId="202" fontId="21" fillId="2" borderId="3" xfId="2" applyNumberFormat="1" applyAlignment="1">
      <alignment horizontal="center" vertical="center" wrapText="1"/>
    </xf>
    <xf numFmtId="169" fontId="47" fillId="5" borderId="12" xfId="1" applyNumberFormat="1" applyAlignment="1">
      <alignment vertical="center"/>
    </xf>
    <xf numFmtId="0" fontId="47" fillId="5" borderId="12" xfId="1" applyAlignment="1">
      <alignment horizontal="center" vertical="center" wrapText="1"/>
    </xf>
    <xf numFmtId="172" fontId="47" fillId="5" borderId="1" xfId="1" applyNumberFormat="1" applyBorder="1" applyAlignment="1">
      <alignment vertical="center" wrapText="1"/>
    </xf>
    <xf numFmtId="173" fontId="47" fillId="5" borderId="1" xfId="1" applyNumberFormat="1" applyBorder="1" applyAlignment="1">
      <alignment vertical="center" wrapText="1"/>
    </xf>
    <xf numFmtId="203" fontId="47" fillId="5" borderId="1" xfId="1" applyNumberFormat="1" applyBorder="1" applyAlignment="1">
      <alignment horizontal="center" vertical="center" wrapText="1"/>
    </xf>
    <xf numFmtId="188" fontId="47" fillId="5" borderId="1" xfId="1" applyNumberFormat="1" applyBorder="1" applyAlignment="1">
      <alignment horizontal="center" vertical="center" wrapText="1"/>
    </xf>
    <xf numFmtId="189" fontId="47" fillId="5" borderId="1" xfId="1" applyNumberFormat="1" applyBorder="1" applyAlignment="1">
      <alignment horizontal="center" vertical="center" wrapText="1"/>
    </xf>
    <xf numFmtId="168" fontId="47" fillId="5" borderId="1" xfId="1" applyNumberFormat="1" applyBorder="1" applyAlignment="1">
      <alignment horizontal="center" vertical="center" wrapText="1"/>
    </xf>
    <xf numFmtId="178" fontId="47" fillId="5" borderId="1" xfId="1" applyNumberFormat="1" applyBorder="1" applyAlignment="1">
      <alignment horizontal="center" vertical="center" wrapText="1"/>
    </xf>
    <xf numFmtId="0" fontId="22" fillId="0" borderId="6" xfId="0" applyFont="1" applyBorder="1" applyAlignment="1">
      <alignment vertical="center" wrapText="1"/>
    </xf>
    <xf numFmtId="0" fontId="0" fillId="0" borderId="8" xfId="0" applyFont="1" applyBorder="1" applyAlignment="1">
      <alignment horizontal="left" vertical="center" wrapText="1"/>
    </xf>
    <xf numFmtId="165" fontId="48" fillId="7" borderId="15" xfId="8" applyNumberFormat="1" applyBorder="1" applyAlignment="1">
      <alignment horizontal="center" vertical="center"/>
    </xf>
    <xf numFmtId="165" fontId="28" fillId="2" borderId="14" xfId="2" applyNumberFormat="1" applyFont="1" applyBorder="1" applyAlignment="1">
      <alignment horizontal="center" vertical="center"/>
    </xf>
    <xf numFmtId="204" fontId="0" fillId="0" borderId="1" xfId="0" applyNumberFormat="1" applyBorder="1" applyAlignment="1">
      <alignment horizontal="center" vertical="center"/>
    </xf>
    <xf numFmtId="191" fontId="0" fillId="0" borderId="1" xfId="0" applyNumberFormat="1" applyFill="1" applyBorder="1" applyAlignment="1">
      <alignment horizontal="center" vertical="center"/>
    </xf>
    <xf numFmtId="0" fontId="0" fillId="0" borderId="0" xfId="0" applyFill="1" applyAlignment="1">
      <alignment vertical="center"/>
    </xf>
    <xf numFmtId="0" fontId="51" fillId="0" borderId="17" xfId="0" applyFont="1" applyBorder="1" applyAlignment="1">
      <alignment horizontal="left" vertical="center" wrapText="1"/>
    </xf>
    <xf numFmtId="0" fontId="51" fillId="0" borderId="11" xfId="0" applyFont="1" applyBorder="1" applyAlignment="1">
      <alignment horizontal="center" vertical="center" wrapText="1"/>
    </xf>
    <xf numFmtId="0" fontId="53" fillId="0" borderId="11" xfId="0" applyFont="1" applyBorder="1" applyAlignment="1">
      <alignment vertical="center" wrapText="1"/>
    </xf>
    <xf numFmtId="205" fontId="36" fillId="0" borderId="17" xfId="0" applyNumberFormat="1" applyFont="1" applyBorder="1" applyAlignment="1">
      <alignment horizontal="left" vertical="center" wrapText="1"/>
    </xf>
    <xf numFmtId="0" fontId="0" fillId="0" borderId="0" xfId="0" applyAlignment="1">
      <alignment vertical="center" wrapText="1"/>
    </xf>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1" xfId="0" applyFont="1" applyBorder="1" applyAlignment="1">
      <alignment horizontal="left" vertical="center" wrapText="1"/>
    </xf>
    <xf numFmtId="185" fontId="47" fillId="5" borderId="12" xfId="1" applyNumberFormat="1" applyAlignment="1">
      <alignment horizontal="center" vertical="center" wrapText="1"/>
    </xf>
    <xf numFmtId="0" fontId="0" fillId="0" borderId="0" xfId="0" applyAlignment="1">
      <alignment vertical="center"/>
    </xf>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1" xfId="0" applyFont="1" applyBorder="1" applyAlignment="1">
      <alignment vertical="center" wrapText="1"/>
    </xf>
    <xf numFmtId="181" fontId="21" fillId="2" borderId="1" xfId="2" applyNumberFormat="1" applyBorder="1" applyAlignment="1">
      <alignment horizontal="center" vertical="center" wrapText="1"/>
    </xf>
    <xf numFmtId="188" fontId="47" fillId="5" borderId="1" xfId="1" applyNumberFormat="1" applyBorder="1" applyAlignment="1">
      <alignment horizontal="center" vertical="center" wrapText="1"/>
    </xf>
    <xf numFmtId="0" fontId="22" fillId="0" borderId="1" xfId="0" applyFont="1" applyBorder="1" applyAlignment="1">
      <alignment horizontal="center" vertical="center" wrapText="1"/>
    </xf>
    <xf numFmtId="0" fontId="0" fillId="0" borderId="1" xfId="0" applyBorder="1" applyAlignment="1">
      <alignment vertical="center" wrapText="1"/>
    </xf>
    <xf numFmtId="167" fontId="47" fillId="5" borderId="12" xfId="1" applyNumberFormat="1" applyAlignment="1">
      <alignment horizontal="center" vertical="center" wrapText="1"/>
    </xf>
    <xf numFmtId="0" fontId="22" fillId="0" borderId="1" xfId="0" applyFont="1" applyBorder="1" applyAlignment="1">
      <alignment horizontal="left" vertical="center" wrapText="1"/>
    </xf>
    <xf numFmtId="0" fontId="0" fillId="0" borderId="1" xfId="0" applyBorder="1" applyAlignment="1">
      <alignment vertical="center"/>
    </xf>
    <xf numFmtId="179" fontId="47" fillId="5" borderId="0" xfId="1" applyNumberFormat="1" applyBorder="1" applyAlignment="1">
      <alignment horizontal="center" vertical="center" wrapText="1"/>
    </xf>
    <xf numFmtId="9" fontId="47" fillId="0" borderId="16" xfId="0" applyNumberFormat="1" applyFont="1" applyFill="1" applyBorder="1" applyAlignment="1">
      <alignment horizontal="center" vertical="center" wrapText="1"/>
    </xf>
    <xf numFmtId="0" fontId="22" fillId="0" borderId="7" xfId="0" applyFont="1" applyBorder="1" applyAlignment="1">
      <alignment vertical="center" wrapText="1"/>
    </xf>
    <xf numFmtId="0" fontId="0" fillId="0" borderId="0" xfId="0" applyBorder="1" applyAlignment="1">
      <alignment vertical="center" wrapText="1"/>
    </xf>
    <xf numFmtId="0" fontId="0" fillId="0" borderId="8" xfId="0" applyBorder="1" applyAlignment="1">
      <alignment vertical="center"/>
    </xf>
    <xf numFmtId="0" fontId="0" fillId="0" borderId="7" xfId="0" applyBorder="1" applyAlignment="1">
      <alignment vertical="center"/>
    </xf>
    <xf numFmtId="0" fontId="22" fillId="0" borderId="2" xfId="0" applyFont="1" applyBorder="1" applyAlignment="1">
      <alignment horizontal="center" vertical="center"/>
    </xf>
    <xf numFmtId="0" fontId="22" fillId="0" borderId="14" xfId="0" applyFont="1" applyBorder="1" applyAlignment="1">
      <alignment horizontal="center" vertical="center"/>
    </xf>
    <xf numFmtId="0" fontId="22" fillId="8" borderId="1" xfId="0" applyFont="1" applyFill="1" applyBorder="1" applyAlignment="1">
      <alignment horizontal="left" vertical="center" wrapText="1"/>
    </xf>
    <xf numFmtId="0" fontId="22" fillId="8" borderId="1" xfId="0" applyFont="1" applyFill="1" applyBorder="1" applyAlignment="1">
      <alignment horizontal="center" vertical="center" wrapText="1"/>
    </xf>
    <xf numFmtId="0" fontId="0" fillId="8" borderId="1" xfId="0" applyFill="1" applyBorder="1" applyAlignment="1">
      <alignment wrapText="1"/>
    </xf>
    <xf numFmtId="0" fontId="0" fillId="0" borderId="0" xfId="0"/>
    <xf numFmtId="0" fontId="22" fillId="0" borderId="1" xfId="0" applyFont="1" applyBorder="1" applyAlignment="1">
      <alignment horizontal="center" vertical="center" wrapText="1"/>
    </xf>
    <xf numFmtId="0" fontId="22" fillId="0" borderId="1" xfId="0" applyFont="1" applyBorder="1" applyAlignment="1">
      <alignment vertical="center" wrapText="1"/>
    </xf>
    <xf numFmtId="0" fontId="0" fillId="0" borderId="1" xfId="0" applyBorder="1" applyAlignment="1">
      <alignment horizontal="left" wrapText="1" indent="1"/>
    </xf>
    <xf numFmtId="201" fontId="47" fillId="5" borderId="12" xfId="1" applyNumberFormat="1" applyAlignment="1">
      <alignment horizontal="center" vertical="center" wrapText="1"/>
    </xf>
    <xf numFmtId="0" fontId="0" fillId="0" borderId="1" xfId="0" applyFill="1" applyBorder="1" applyAlignment="1">
      <alignment horizontal="left" vertical="center" wrapText="1"/>
    </xf>
    <xf numFmtId="0" fontId="0" fillId="0" borderId="0" xfId="0"/>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0" fillId="0" borderId="0" xfId="0" applyBorder="1" applyAlignment="1">
      <alignment vertical="center" wrapText="1"/>
    </xf>
    <xf numFmtId="171" fontId="24" fillId="0" borderId="0" xfId="6" applyNumberFormat="1" applyFill="1" applyBorder="1" applyAlignment="1">
      <alignment horizontal="center" vertical="center" wrapText="1"/>
    </xf>
    <xf numFmtId="0" fontId="0" fillId="0" borderId="1" xfId="0" applyFill="1" applyBorder="1" applyAlignment="1">
      <alignment horizontal="left" vertical="center" wrapText="1"/>
    </xf>
    <xf numFmtId="206" fontId="47" fillId="5" borderId="12" xfId="1" applyNumberFormat="1" applyAlignment="1">
      <alignment horizontal="center" vertical="center" wrapText="1"/>
    </xf>
    <xf numFmtId="171" fontId="24" fillId="0" borderId="0" xfId="6" applyNumberFormat="1" applyFill="1" applyBorder="1" applyAlignment="1">
      <alignment horizontal="center" vertical="center" wrapText="1"/>
    </xf>
    <xf numFmtId="0" fontId="22" fillId="0" borderId="0" xfId="0" applyFont="1" applyFill="1" applyBorder="1" applyAlignment="1">
      <alignment horizontal="center" vertical="center" wrapText="1"/>
    </xf>
    <xf numFmtId="0" fontId="0" fillId="0" borderId="0" xfId="0" applyFill="1" applyBorder="1" applyAlignment="1">
      <alignment vertical="center" wrapText="1"/>
    </xf>
    <xf numFmtId="200" fontId="47" fillId="8" borderId="12" xfId="1" applyNumberFormat="1" applyFill="1" applyAlignment="1">
      <alignment horizontal="center" vertical="center" wrapText="1"/>
    </xf>
    <xf numFmtId="0" fontId="0" fillId="8" borderId="1" xfId="0" applyFill="1" applyBorder="1" applyAlignment="1">
      <alignment vertical="center" wrapText="1"/>
    </xf>
    <xf numFmtId="182" fontId="47" fillId="8" borderId="12" xfId="1" applyNumberFormat="1" applyFill="1" applyAlignment="1">
      <alignment horizontal="center" vertical="center" wrapText="1"/>
    </xf>
    <xf numFmtId="0" fontId="0" fillId="8" borderId="1" xfId="0" applyFill="1" applyBorder="1" applyAlignment="1">
      <alignment vertical="center"/>
    </xf>
    <xf numFmtId="167" fontId="47" fillId="8" borderId="12" xfId="1" applyNumberFormat="1" applyFill="1" applyAlignment="1">
      <alignment horizontal="center" vertical="center" wrapText="1"/>
    </xf>
    <xf numFmtId="0" fontId="23" fillId="8" borderId="1" xfId="3" applyFill="1" applyBorder="1" applyAlignment="1">
      <alignment vertical="center" wrapText="1"/>
    </xf>
    <xf numFmtId="0" fontId="22" fillId="8" borderId="1" xfId="0" applyFont="1" applyFill="1" applyBorder="1" applyAlignment="1">
      <alignment vertical="center" wrapText="1"/>
    </xf>
    <xf numFmtId="0" fontId="22" fillId="8" borderId="1" xfId="0" applyFont="1" applyFill="1" applyBorder="1" applyAlignment="1">
      <alignment horizontal="center" vertical="center"/>
    </xf>
    <xf numFmtId="191" fontId="0" fillId="8" borderId="1" xfId="0" applyNumberFormat="1" applyFill="1" applyBorder="1" applyAlignment="1">
      <alignment horizontal="center" vertical="center"/>
    </xf>
    <xf numFmtId="197" fontId="47" fillId="8" borderId="16" xfId="1" applyNumberFormat="1" applyFill="1" applyBorder="1" applyAlignment="1">
      <alignment horizontal="center" vertical="center"/>
    </xf>
    <xf numFmtId="191" fontId="47" fillId="8" borderId="12" xfId="1" applyNumberFormat="1" applyFill="1" applyAlignment="1">
      <alignment horizontal="center" vertical="center" wrapText="1"/>
    </xf>
    <xf numFmtId="0" fontId="29" fillId="8" borderId="1" xfId="0" applyFont="1" applyFill="1" applyBorder="1" applyAlignment="1">
      <alignment horizontal="left" vertical="center" wrapText="1" indent="4"/>
    </xf>
    <xf numFmtId="184" fontId="47" fillId="8" borderId="12" xfId="1" applyNumberFormat="1" applyFill="1" applyAlignment="1">
      <alignment horizontal="center" vertical="center" wrapText="1"/>
    </xf>
    <xf numFmtId="0" fontId="0" fillId="8" borderId="1" xfId="0" applyFill="1" applyBorder="1" applyAlignment="1">
      <alignment horizontal="left" vertical="center" wrapText="1"/>
    </xf>
    <xf numFmtId="192" fontId="47" fillId="8" borderId="12" xfId="1" applyNumberFormat="1" applyFill="1" applyAlignment="1">
      <alignment horizontal="center" vertical="center" wrapText="1"/>
    </xf>
    <xf numFmtId="0" fontId="53" fillId="8" borderId="8" xfId="0" applyFont="1" applyFill="1" applyBorder="1" applyAlignment="1">
      <alignment horizontal="center" vertical="center" wrapText="1"/>
    </xf>
    <xf numFmtId="205" fontId="36" fillId="8" borderId="1" xfId="0" applyNumberFormat="1" applyFont="1" applyFill="1" applyBorder="1" applyAlignment="1">
      <alignment horizontal="left" vertical="center" wrapText="1"/>
    </xf>
    <xf numFmtId="0" fontId="0" fillId="0" borderId="0" xfId="0" applyAlignment="1">
      <alignment vertical="center" wrapText="1"/>
    </xf>
    <xf numFmtId="0" fontId="0" fillId="0" borderId="2" xfId="0" applyBorder="1" applyAlignment="1">
      <alignment vertical="center" wrapText="1"/>
    </xf>
    <xf numFmtId="0" fontId="22" fillId="0" borderId="2" xfId="0" applyFont="1" applyBorder="1" applyAlignment="1">
      <alignment horizontal="center" vertical="center" wrapText="1"/>
    </xf>
    <xf numFmtId="9" fontId="47" fillId="5" borderId="12" xfId="1" applyNumberFormat="1" applyAlignment="1">
      <alignment horizontal="center" vertical="center" wrapText="1"/>
    </xf>
    <xf numFmtId="201" fontId="47" fillId="5" borderId="12" xfId="1" applyNumberFormat="1" applyAlignment="1">
      <alignment horizontal="center" vertical="center" wrapText="1"/>
    </xf>
    <xf numFmtId="0" fontId="22" fillId="0" borderId="1" xfId="0" applyFont="1" applyFill="1" applyBorder="1" applyAlignment="1">
      <alignment horizontal="center" vertical="center"/>
    </xf>
    <xf numFmtId="0" fontId="22" fillId="0" borderId="2" xfId="0" applyFont="1" applyBorder="1" applyAlignment="1">
      <alignment horizontal="left" vertical="center" wrapText="1"/>
    </xf>
    <xf numFmtId="0" fontId="0" fillId="0" borderId="2" xfId="0" applyBorder="1" applyAlignment="1">
      <alignment vertical="center"/>
    </xf>
    <xf numFmtId="0" fontId="22"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left" vertical="center" wrapText="1"/>
    </xf>
    <xf numFmtId="182" fontId="47" fillId="5" borderId="1" xfId="1" applyNumberFormat="1" applyBorder="1" applyAlignment="1">
      <alignment horizontal="center" vertical="center" wrapText="1"/>
    </xf>
    <xf numFmtId="183" fontId="21" fillId="2" borderId="1" xfId="2" applyNumberFormat="1" applyBorder="1" applyAlignment="1">
      <alignment horizontal="center" vertical="center" wrapText="1"/>
    </xf>
    <xf numFmtId="185" fontId="47" fillId="5" borderId="1" xfId="1" applyNumberFormat="1" applyBorder="1" applyAlignment="1">
      <alignment horizontal="center" vertical="center" wrapText="1"/>
    </xf>
    <xf numFmtId="187" fontId="47" fillId="5" borderId="1" xfId="1" applyNumberFormat="1" applyBorder="1" applyAlignment="1">
      <alignment horizontal="center" vertical="center" wrapText="1"/>
    </xf>
    <xf numFmtId="187" fontId="21" fillId="2" borderId="1" xfId="2" applyNumberFormat="1" applyBorder="1" applyAlignment="1">
      <alignment horizontal="center" vertical="center" wrapText="1"/>
    </xf>
    <xf numFmtId="186" fontId="47" fillId="5" borderId="1" xfId="1" applyNumberFormat="1" applyBorder="1" applyAlignment="1">
      <alignment horizontal="center" vertical="center" wrapText="1"/>
    </xf>
    <xf numFmtId="187" fontId="21" fillId="2" borderId="3" xfId="2" applyNumberFormat="1" applyAlignment="1">
      <alignment horizontal="center" vertical="center" wrapText="1"/>
    </xf>
    <xf numFmtId="0" fontId="0" fillId="8" borderId="0" xfId="0" applyFill="1" applyAlignment="1">
      <alignment vertical="center" wrapText="1"/>
    </xf>
    <xf numFmtId="182" fontId="23" fillId="8" borderId="1" xfId="3" applyNumberFormat="1" applyFill="1" applyBorder="1" applyAlignment="1">
      <alignment horizontal="center" vertical="center" wrapText="1"/>
    </xf>
    <xf numFmtId="184" fontId="23" fillId="8" borderId="1" xfId="3" applyNumberFormat="1" applyFill="1" applyBorder="1" applyAlignment="1">
      <alignment horizontal="center" vertical="center" wrapText="1"/>
    </xf>
    <xf numFmtId="0" fontId="53" fillId="8" borderId="1" xfId="0" applyFont="1" applyFill="1" applyBorder="1" applyAlignment="1">
      <alignment horizontal="left" vertical="center" wrapText="1" readingOrder="1"/>
    </xf>
    <xf numFmtId="0" fontId="0" fillId="8" borderId="1" xfId="0" applyFill="1" applyBorder="1" applyAlignment="1">
      <alignment horizontal="left" vertical="center" wrapText="1" indent="1"/>
    </xf>
    <xf numFmtId="0" fontId="0" fillId="8" borderId="1" xfId="0" applyFont="1" applyFill="1" applyBorder="1" applyAlignment="1">
      <alignment vertical="center" wrapText="1" readingOrder="1"/>
    </xf>
    <xf numFmtId="2" fontId="23" fillId="8" borderId="1" xfId="3" applyNumberFormat="1" applyFill="1" applyBorder="1" applyAlignment="1">
      <alignment horizontal="center" vertical="center" wrapText="1"/>
    </xf>
    <xf numFmtId="207" fontId="48" fillId="7" borderId="13" xfId="8" applyNumberFormat="1" applyAlignment="1">
      <alignment horizontal="center" vertical="center" wrapText="1"/>
    </xf>
    <xf numFmtId="0" fontId="0" fillId="0" borderId="0" xfId="0" applyAlignment="1">
      <alignment vertical="center" wrapText="1"/>
    </xf>
    <xf numFmtId="0" fontId="22" fillId="0" borderId="1" xfId="0" applyFont="1" applyBorder="1" applyAlignment="1">
      <alignment horizontal="left" vertical="center" wrapText="1"/>
    </xf>
    <xf numFmtId="0" fontId="22" fillId="0" borderId="1" xfId="0" applyFont="1" applyBorder="1" applyAlignment="1">
      <alignment vertical="center" wrapText="1"/>
    </xf>
    <xf numFmtId="0" fontId="0" fillId="0" borderId="0" xfId="0" applyAlignment="1">
      <alignment horizontal="left" vertical="center" wrapText="1"/>
    </xf>
    <xf numFmtId="207" fontId="56" fillId="7" borderId="1" xfId="8" applyNumberFormat="1" applyFont="1" applyBorder="1" applyAlignment="1">
      <alignment horizontal="center" vertical="center" wrapText="1"/>
    </xf>
    <xf numFmtId="0" fontId="0" fillId="0" borderId="0" xfId="0" applyFont="1" applyAlignment="1">
      <alignment vertical="center" wrapText="1"/>
    </xf>
    <xf numFmtId="0" fontId="22" fillId="0" borderId="0" xfId="0" applyFont="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27" fillId="0" borderId="1" xfId="0" applyFont="1" applyBorder="1" applyAlignment="1">
      <alignment horizontal="left" vertical="center" wrapText="1" indent="2"/>
    </xf>
    <xf numFmtId="0" fontId="22" fillId="0" borderId="1" xfId="0" applyFont="1" applyFill="1" applyBorder="1" applyAlignment="1">
      <alignment horizontal="center" vertical="center" wrapText="1"/>
    </xf>
    <xf numFmtId="0" fontId="0" fillId="0" borderId="1" xfId="0" applyBorder="1" applyAlignment="1">
      <alignment horizontal="left" vertical="center" wrapText="1"/>
    </xf>
    <xf numFmtId="0" fontId="11" fillId="0" borderId="1" xfId="0" applyFont="1" applyBorder="1" applyAlignment="1">
      <alignment horizontal="left" vertical="center" wrapText="1" indent="2"/>
    </xf>
    <xf numFmtId="0" fontId="27" fillId="0" borderId="1" xfId="0" applyFont="1" applyBorder="1" applyAlignment="1">
      <alignment horizontal="left" wrapText="1" indent="2"/>
    </xf>
    <xf numFmtId="0" fontId="22" fillId="0" borderId="1" xfId="0" applyFont="1" applyFill="1" applyBorder="1" applyAlignment="1">
      <alignment horizontal="left" vertical="center" wrapText="1"/>
    </xf>
    <xf numFmtId="207" fontId="0" fillId="0" borderId="1" xfId="0" applyNumberFormat="1" applyFont="1" applyBorder="1" applyAlignment="1">
      <alignment horizontal="center" vertical="center" wrapText="1"/>
    </xf>
    <xf numFmtId="0" fontId="0" fillId="0" borderId="0" xfId="0" applyFont="1" applyAlignment="1">
      <alignment horizontal="center" vertical="center" wrapText="1"/>
    </xf>
    <xf numFmtId="0" fontId="11" fillId="0" borderId="1" xfId="0" applyFont="1" applyBorder="1" applyAlignment="1">
      <alignment horizontal="left" wrapText="1" indent="2"/>
    </xf>
    <xf numFmtId="0" fontId="0" fillId="0" borderId="1" xfId="0" applyFill="1" applyBorder="1" applyAlignment="1">
      <alignment vertical="center"/>
    </xf>
    <xf numFmtId="167" fontId="47" fillId="0" borderId="12" xfId="1" applyNumberFormat="1" applyFill="1" applyAlignment="1">
      <alignment horizontal="center" vertical="center" wrapText="1"/>
    </xf>
    <xf numFmtId="0" fontId="23" fillId="0" borderId="1" xfId="3" applyFill="1" applyBorder="1" applyAlignment="1">
      <alignment vertical="center" wrapText="1"/>
    </xf>
    <xf numFmtId="0" fontId="0" fillId="0" borderId="0" xfId="0" applyAlignment="1">
      <alignment vertical="center" wrapText="1"/>
    </xf>
    <xf numFmtId="0" fontId="0" fillId="0" borderId="0" xfId="0" applyAlignment="1">
      <alignment vertical="center"/>
    </xf>
    <xf numFmtId="0" fontId="22" fillId="0" borderId="1" xfId="0" applyFont="1" applyBorder="1" applyAlignment="1">
      <alignment horizontal="center" vertical="center" wrapText="1"/>
    </xf>
    <xf numFmtId="0" fontId="0" fillId="0" borderId="1" xfId="0" applyBorder="1" applyAlignment="1">
      <alignment vertical="center" wrapText="1"/>
    </xf>
    <xf numFmtId="0" fontId="22" fillId="0" borderId="1" xfId="0" applyFont="1" applyBorder="1" applyAlignment="1">
      <alignment vertical="center" wrapText="1"/>
    </xf>
    <xf numFmtId="0" fontId="22" fillId="0" borderId="1" xfId="0" applyFont="1" applyFill="1" applyBorder="1" applyAlignment="1">
      <alignment horizontal="center" vertical="center" wrapText="1"/>
    </xf>
    <xf numFmtId="0" fontId="0" fillId="0" borderId="1" xfId="0" applyBorder="1" applyAlignment="1">
      <alignment vertical="center"/>
    </xf>
    <xf numFmtId="0" fontId="0" fillId="0" borderId="1" xfId="0" applyFill="1" applyBorder="1" applyAlignment="1">
      <alignment vertical="center" wrapText="1"/>
    </xf>
    <xf numFmtId="207" fontId="47" fillId="0" borderId="12" xfId="1" applyNumberFormat="1" applyFill="1" applyAlignment="1">
      <alignment horizontal="center" vertical="center" wrapText="1"/>
    </xf>
    <xf numFmtId="203" fontId="47" fillId="8" borderId="1" xfId="1" applyNumberFormat="1" applyFill="1" applyBorder="1" applyAlignment="1">
      <alignment horizontal="center" vertical="center" wrapText="1"/>
    </xf>
    <xf numFmtId="164" fontId="36" fillId="0" borderId="1" xfId="6" applyNumberFormat="1" applyFont="1" applyBorder="1" applyAlignment="1">
      <alignment vertical="center" wrapText="1"/>
    </xf>
    <xf numFmtId="0" fontId="22" fillId="0" borderId="1" xfId="0" applyFont="1" applyFill="1" applyBorder="1" applyAlignment="1">
      <alignment vertical="center" wrapText="1"/>
    </xf>
    <xf numFmtId="0" fontId="11" fillId="0" borderId="1" xfId="0" applyFont="1" applyFill="1" applyBorder="1" applyAlignment="1">
      <alignment horizontal="left" vertical="center" wrapText="1" indent="2"/>
    </xf>
    <xf numFmtId="207" fontId="0" fillId="0" borderId="1" xfId="0" applyNumberFormat="1" applyFont="1" applyFill="1" applyBorder="1" applyAlignment="1">
      <alignment horizontal="center" vertical="center" wrapText="1"/>
    </xf>
    <xf numFmtId="176" fontId="47" fillId="0" borderId="12" xfId="1" applyNumberFormat="1" applyFill="1" applyAlignment="1">
      <alignment horizontal="center" vertical="center" wrapText="1"/>
    </xf>
    <xf numFmtId="0" fontId="22" fillId="0" borderId="1" xfId="0" applyFont="1" applyBorder="1" applyAlignment="1">
      <alignment horizontal="left" vertical="center" wrapText="1" indent="1"/>
    </xf>
    <xf numFmtId="0" fontId="22" fillId="0" borderId="1" xfId="0" applyFont="1" applyFill="1" applyBorder="1" applyAlignment="1">
      <alignment horizontal="left" vertical="center" wrapText="1" indent="1"/>
    </xf>
    <xf numFmtId="0" fontId="27" fillId="0" borderId="1" xfId="0" applyFont="1" applyFill="1" applyBorder="1" applyAlignment="1">
      <alignment horizontal="left" vertical="center" wrapText="1" indent="2"/>
    </xf>
    <xf numFmtId="208" fontId="0" fillId="0" borderId="1" xfId="0" applyNumberFormat="1" applyFont="1" applyFill="1" applyBorder="1" applyAlignment="1">
      <alignment vertical="center" wrapText="1"/>
    </xf>
    <xf numFmtId="0" fontId="0" fillId="0" borderId="1" xfId="0" applyFont="1" applyFill="1" applyBorder="1" applyAlignment="1">
      <alignment horizontal="left" vertical="center" wrapText="1"/>
    </xf>
    <xf numFmtId="0" fontId="45" fillId="2" borderId="3" xfId="2" applyFont="1" applyAlignment="1">
      <alignment horizontal="left" wrapText="1" indent="1"/>
    </xf>
    <xf numFmtId="0" fontId="29" fillId="0" borderId="21" xfId="0" applyFont="1" applyBorder="1" applyAlignment="1">
      <alignment vertical="center" wrapText="1"/>
    </xf>
    <xf numFmtId="207" fontId="61" fillId="0" borderId="1" xfId="8" applyNumberFormat="1" applyFont="1" applyFill="1" applyBorder="1" applyAlignment="1">
      <alignment horizontal="center" vertical="center" wrapText="1"/>
    </xf>
    <xf numFmtId="209" fontId="0" fillId="0" borderId="1" xfId="0" applyNumberFormat="1" applyBorder="1" applyAlignment="1">
      <alignment horizontal="center" vertical="center" wrapText="1"/>
    </xf>
    <xf numFmtId="0" fontId="22" fillId="0" borderId="1" xfId="0" applyFont="1" applyBorder="1" applyAlignment="1">
      <alignment horizontal="center" vertical="center"/>
    </xf>
    <xf numFmtId="210" fontId="0" fillId="0" borderId="1" xfId="0" applyNumberFormat="1" applyBorder="1" applyAlignment="1">
      <alignment horizontal="center" vertical="center" wrapText="1"/>
    </xf>
    <xf numFmtId="208" fontId="60" fillId="0" borderId="1" xfId="10" applyNumberFormat="1" applyFill="1" applyBorder="1" applyAlignment="1">
      <alignment vertical="center" wrapText="1"/>
    </xf>
    <xf numFmtId="0" fontId="22" fillId="8" borderId="6" xfId="0" applyFont="1" applyFill="1" applyBorder="1" applyAlignment="1">
      <alignment vertical="center" wrapText="1"/>
    </xf>
    <xf numFmtId="0" fontId="22" fillId="8" borderId="14" xfId="0" applyFont="1" applyFill="1" applyBorder="1" applyAlignment="1">
      <alignment horizontal="center" vertical="center" wrapText="1"/>
    </xf>
    <xf numFmtId="0" fontId="51" fillId="0" borderId="6" xfId="0" applyFont="1" applyFill="1" applyBorder="1" applyAlignment="1">
      <alignment horizontal="left" vertical="center" wrapText="1"/>
    </xf>
    <xf numFmtId="0" fontId="51" fillId="0" borderId="14" xfId="0" applyFont="1" applyFill="1" applyBorder="1" applyAlignment="1">
      <alignment horizontal="center" vertical="center" wrapText="1"/>
    </xf>
    <xf numFmtId="211" fontId="47" fillId="9" borderId="12" xfId="0" applyNumberFormat="1" applyFont="1" applyFill="1" applyBorder="1" applyAlignment="1">
      <alignment horizontal="center" vertical="center" wrapText="1"/>
    </xf>
    <xf numFmtId="0" fontId="13" fillId="8" borderId="1" xfId="0" applyFont="1" applyFill="1" applyBorder="1" applyAlignment="1">
      <alignment horizontal="center" vertical="center" wrapText="1"/>
    </xf>
    <xf numFmtId="197" fontId="47" fillId="8" borderId="12" xfId="1" applyNumberFormat="1" applyFill="1" applyAlignment="1">
      <alignment horizontal="center" vertical="center"/>
    </xf>
    <xf numFmtId="0" fontId="0" fillId="0" borderId="0" xfId="0" applyAlignment="1">
      <alignment horizontal="center" vertical="center"/>
    </xf>
    <xf numFmtId="175" fontId="38" fillId="0" borderId="1" xfId="0" applyNumberFormat="1" applyFont="1" applyBorder="1" applyAlignment="1">
      <alignment horizontal="left" indent="1"/>
    </xf>
    <xf numFmtId="164" fontId="24" fillId="0" borderId="1" xfId="6" applyNumberFormat="1" applyBorder="1" applyAlignment="1">
      <alignment vertical="center"/>
    </xf>
    <xf numFmtId="212" fontId="0" fillId="0" borderId="1" xfId="0" applyNumberFormat="1" applyBorder="1" applyAlignment="1">
      <alignment horizontal="center" vertical="center"/>
    </xf>
    <xf numFmtId="212" fontId="48" fillId="7" borderId="1" xfId="8" applyNumberFormat="1" applyBorder="1" applyAlignment="1">
      <alignment horizontal="center" vertical="center"/>
    </xf>
    <xf numFmtId="0" fontId="0" fillId="0" borderId="1" xfId="0" applyFont="1" applyBorder="1" applyAlignment="1">
      <alignment vertical="center"/>
    </xf>
    <xf numFmtId="213" fontId="21" fillId="2" borderId="1" xfId="2" applyNumberFormat="1" applyBorder="1" applyAlignment="1">
      <alignment horizontal="center" vertical="center"/>
    </xf>
    <xf numFmtId="213" fontId="23" fillId="12" borderId="1" xfId="3" applyNumberFormat="1" applyBorder="1" applyAlignment="1">
      <alignment horizontal="center" vertical="center"/>
    </xf>
    <xf numFmtId="213" fontId="23" fillId="0" borderId="1" xfId="3" applyNumberFormat="1" applyFill="1" applyBorder="1" applyAlignment="1">
      <alignment horizontal="center" vertical="center"/>
    </xf>
    <xf numFmtId="213" fontId="21" fillId="0" borderId="1" xfId="2" applyNumberFormat="1" applyFill="1" applyBorder="1" applyAlignment="1">
      <alignment horizontal="center" vertical="center"/>
    </xf>
    <xf numFmtId="212" fontId="0" fillId="0" borderId="1" xfId="0" applyNumberFormat="1" applyFill="1" applyBorder="1" applyAlignment="1">
      <alignment horizontal="center" vertical="center"/>
    </xf>
    <xf numFmtId="212" fontId="48" fillId="0" borderId="1" xfId="8" applyNumberFormat="1" applyFill="1" applyBorder="1" applyAlignment="1">
      <alignment horizontal="center" vertical="center"/>
    </xf>
    <xf numFmtId="203" fontId="47" fillId="0" borderId="1" xfId="1" applyNumberFormat="1" applyFill="1" applyBorder="1" applyAlignment="1">
      <alignment horizontal="center" vertical="center" wrapText="1"/>
    </xf>
    <xf numFmtId="203" fontId="47" fillId="0" borderId="12" xfId="1" applyNumberFormat="1" applyFill="1" applyAlignment="1">
      <alignment horizontal="center" vertical="center" wrapText="1"/>
    </xf>
    <xf numFmtId="207" fontId="48" fillId="0" borderId="13" xfId="8" applyNumberFormat="1" applyFill="1" applyAlignment="1">
      <alignment horizontal="center" vertical="center" wrapText="1"/>
    </xf>
    <xf numFmtId="172" fontId="47" fillId="0" borderId="12" xfId="1" applyNumberFormat="1" applyFill="1" applyAlignment="1">
      <alignment horizontal="center" vertical="center" wrapText="1"/>
    </xf>
    <xf numFmtId="173" fontId="58" fillId="0" borderId="12" xfId="1" applyNumberFormat="1" applyFont="1" applyFill="1" applyAlignment="1">
      <alignment horizontal="center" vertical="center" wrapText="1"/>
    </xf>
    <xf numFmtId="173" fontId="47" fillId="0" borderId="12" xfId="1" applyNumberFormat="1" applyFill="1" applyAlignment="1">
      <alignment horizontal="center" vertical="center" wrapText="1"/>
    </xf>
    <xf numFmtId="0" fontId="21" fillId="0" borderId="1" xfId="2" applyFill="1" applyBorder="1" applyAlignment="1">
      <alignment horizontal="center" vertical="center" wrapText="1"/>
    </xf>
    <xf numFmtId="174" fontId="21" fillId="0" borderId="3" xfId="2" applyNumberFormat="1" applyFill="1" applyAlignment="1">
      <alignment horizontal="center" vertical="center" wrapText="1"/>
    </xf>
    <xf numFmtId="202" fontId="47" fillId="0" borderId="12" xfId="1" applyNumberFormat="1" applyFont="1" applyFill="1" applyAlignment="1">
      <alignment horizontal="center" vertical="center" wrapText="1"/>
    </xf>
    <xf numFmtId="202" fontId="21" fillId="0" borderId="3" xfId="2" applyNumberFormat="1" applyFill="1" applyAlignment="1">
      <alignment horizontal="center" vertical="center" wrapText="1"/>
    </xf>
    <xf numFmtId="201" fontId="47" fillId="0" borderId="12" xfId="1" applyNumberFormat="1" applyFill="1" applyAlignment="1">
      <alignment horizontal="center" vertical="center" wrapText="1"/>
    </xf>
    <xf numFmtId="9" fontId="47" fillId="0" borderId="12" xfId="1" applyNumberFormat="1" applyFill="1" applyAlignment="1">
      <alignment horizontal="center" vertical="center" wrapText="1"/>
    </xf>
    <xf numFmtId="188" fontId="47" fillId="0" borderId="12" xfId="1" applyNumberFormat="1" applyFill="1" applyAlignment="1">
      <alignment horizontal="center" vertical="center" wrapText="1"/>
    </xf>
    <xf numFmtId="196" fontId="21" fillId="0" borderId="1" xfId="2" applyNumberFormat="1" applyFill="1" applyBorder="1" applyAlignment="1">
      <alignment horizontal="center" vertical="center" wrapText="1"/>
    </xf>
    <xf numFmtId="195" fontId="47" fillId="0" borderId="12" xfId="1" applyNumberFormat="1" applyFill="1" applyAlignment="1">
      <alignment horizontal="center" vertical="center" wrapText="1"/>
    </xf>
    <xf numFmtId="194" fontId="21" fillId="0" borderId="3" xfId="2" applyNumberFormat="1" applyFill="1" applyAlignment="1">
      <alignment horizontal="center" vertical="center" wrapText="1"/>
    </xf>
    <xf numFmtId="193" fontId="47" fillId="0" borderId="12" xfId="1" applyNumberFormat="1" applyFill="1" applyAlignment="1">
      <alignment horizontal="center" vertical="center" wrapText="1"/>
    </xf>
    <xf numFmtId="185" fontId="47" fillId="0" borderId="12" xfId="1" applyNumberFormat="1" applyFill="1" applyAlignment="1">
      <alignment horizontal="center" vertical="center" wrapText="1"/>
    </xf>
    <xf numFmtId="191" fontId="21" fillId="0" borderId="1" xfId="2" applyNumberFormat="1" applyFill="1" applyBorder="1" applyAlignment="1">
      <alignment horizontal="center" vertical="center" wrapText="1"/>
    </xf>
    <xf numFmtId="190" fontId="21" fillId="0" borderId="1" xfId="2" applyNumberFormat="1" applyFill="1" applyBorder="1" applyAlignment="1">
      <alignment horizontal="center" vertical="center" wrapText="1"/>
    </xf>
    <xf numFmtId="198" fontId="47" fillId="0" borderId="12" xfId="1" applyNumberFormat="1" applyFill="1" applyAlignment="1">
      <alignment horizontal="center" vertical="center" wrapText="1"/>
    </xf>
    <xf numFmtId="197" fontId="47" fillId="0" borderId="12" xfId="1" applyNumberFormat="1" applyFill="1" applyAlignment="1">
      <alignment horizontal="center" vertical="center"/>
    </xf>
    <xf numFmtId="182" fontId="47" fillId="0" borderId="12" xfId="1" applyNumberFormat="1" applyFill="1" applyAlignment="1">
      <alignment horizontal="center" vertical="center" wrapText="1"/>
    </xf>
    <xf numFmtId="171" fontId="47" fillId="0" borderId="12" xfId="1" applyNumberFormat="1" applyFill="1" applyAlignment="1">
      <alignment horizontal="center" vertical="center" wrapText="1"/>
    </xf>
    <xf numFmtId="199" fontId="47" fillId="0" borderId="12" xfId="1" applyNumberFormat="1" applyFill="1" applyAlignment="1">
      <alignment horizontal="center" vertical="center" wrapText="1"/>
    </xf>
    <xf numFmtId="200" fontId="47" fillId="0" borderId="12" xfId="1" applyNumberFormat="1" applyFill="1" applyAlignment="1">
      <alignment horizontal="center" vertical="center" wrapText="1"/>
    </xf>
    <xf numFmtId="167" fontId="47" fillId="0" borderId="1" xfId="1" applyNumberFormat="1" applyFill="1" applyBorder="1" applyAlignment="1">
      <alignment horizontal="center" vertical="center" wrapText="1"/>
    </xf>
    <xf numFmtId="169" fontId="47" fillId="0" borderId="12" xfId="1" applyNumberFormat="1" applyFill="1" applyAlignment="1">
      <alignment vertical="center"/>
    </xf>
    <xf numFmtId="0" fontId="47" fillId="0" borderId="12" xfId="1" applyFill="1" applyAlignment="1">
      <alignment horizontal="center" vertical="center" wrapText="1"/>
    </xf>
    <xf numFmtId="2" fontId="47" fillId="0" borderId="12" xfId="1" applyNumberFormat="1" applyFill="1" applyAlignment="1">
      <alignment horizontal="center" vertical="center" wrapText="1"/>
    </xf>
    <xf numFmtId="204" fontId="0" fillId="0" borderId="1" xfId="0" applyNumberFormat="1" applyFill="1" applyBorder="1" applyAlignment="1">
      <alignment horizontal="center" vertical="center"/>
    </xf>
    <xf numFmtId="197" fontId="47" fillId="0" borderId="16" xfId="1" applyNumberFormat="1" applyFill="1" applyBorder="1" applyAlignment="1">
      <alignment horizontal="center" vertical="center"/>
    </xf>
    <xf numFmtId="176" fontId="21" fillId="0" borderId="3" xfId="2" applyNumberFormat="1" applyFill="1" applyAlignment="1">
      <alignment horizontal="center" vertical="center" wrapText="1"/>
    </xf>
    <xf numFmtId="178" fontId="21" fillId="0" borderId="1" xfId="2" applyNumberFormat="1" applyFill="1" applyBorder="1" applyAlignment="1">
      <alignment horizontal="center" vertical="center" wrapText="1"/>
    </xf>
    <xf numFmtId="176" fontId="21" fillId="0" borderId="1" xfId="2" applyNumberFormat="1" applyFill="1" applyBorder="1" applyAlignment="1">
      <alignment horizontal="center" vertical="center" wrapText="1"/>
    </xf>
    <xf numFmtId="165" fontId="28" fillId="0" borderId="14" xfId="2" applyNumberFormat="1" applyFont="1" applyFill="1" applyBorder="1" applyAlignment="1">
      <alignment horizontal="center" vertical="center"/>
    </xf>
    <xf numFmtId="165" fontId="47" fillId="0" borderId="12" xfId="0" applyNumberFormat="1" applyFont="1" applyFill="1" applyBorder="1" applyAlignment="1">
      <alignment horizontal="center" vertical="center" wrapText="1"/>
    </xf>
    <xf numFmtId="0" fontId="22" fillId="11" borderId="1" xfId="0" applyFont="1" applyFill="1" applyBorder="1" applyAlignment="1">
      <alignment vertical="center" wrapText="1"/>
    </xf>
    <xf numFmtId="0" fontId="22" fillId="11" borderId="1" xfId="0" applyFont="1" applyFill="1" applyBorder="1" applyAlignment="1">
      <alignment horizontal="center" vertical="center" wrapText="1"/>
    </xf>
    <xf numFmtId="0" fontId="22" fillId="0" borderId="2" xfId="0" applyFont="1" applyBorder="1" applyAlignment="1">
      <alignment horizontal="left" vertical="center" wrapText="1"/>
    </xf>
    <xf numFmtId="0" fontId="22" fillId="0" borderId="1" xfId="0" applyFont="1" applyBorder="1" applyAlignment="1">
      <alignment horizontal="center" vertical="center"/>
    </xf>
    <xf numFmtId="0" fontId="22" fillId="11" borderId="1" xfId="0" applyFont="1" applyFill="1" applyBorder="1" applyAlignment="1">
      <alignment horizontal="left" vertical="center" wrapText="1"/>
    </xf>
    <xf numFmtId="196" fontId="47" fillId="5" borderId="1" xfId="1" applyNumberFormat="1" applyBorder="1" applyAlignment="1">
      <alignment horizontal="center" vertical="center" wrapText="1"/>
    </xf>
    <xf numFmtId="196" fontId="23" fillId="12" borderId="1" xfId="3" applyNumberFormat="1" applyBorder="1" applyAlignment="1">
      <alignment horizontal="center" vertical="center" wrapText="1"/>
    </xf>
    <xf numFmtId="0" fontId="22" fillId="0" borderId="1" xfId="0" applyFont="1" applyBorder="1" applyAlignment="1">
      <alignment horizontal="center" vertical="center" wrapText="1"/>
    </xf>
    <xf numFmtId="0" fontId="0" fillId="0" borderId="1" xfId="0" applyBorder="1" applyAlignment="1">
      <alignment horizontal="left" vertical="center" wrapText="1"/>
    </xf>
    <xf numFmtId="214" fontId="23" fillId="12" borderId="1" xfId="3" applyNumberFormat="1" applyBorder="1" applyAlignment="1">
      <alignment horizontal="center" vertical="center" wrapText="1"/>
    </xf>
    <xf numFmtId="196" fontId="47" fillId="0" borderId="1" xfId="1" applyNumberFormat="1" applyFill="1" applyBorder="1" applyAlignment="1">
      <alignment horizontal="center" vertical="center" wrapText="1"/>
    </xf>
    <xf numFmtId="196" fontId="23" fillId="0" borderId="1" xfId="3" applyNumberFormat="1" applyFill="1" applyBorder="1" applyAlignment="1">
      <alignment horizontal="center" vertical="center" wrapText="1"/>
    </xf>
    <xf numFmtId="214" fontId="23" fillId="0" borderId="1" xfId="3" applyNumberFormat="1" applyFill="1" applyBorder="1" applyAlignment="1">
      <alignment horizontal="center" vertical="center" wrapText="1"/>
    </xf>
    <xf numFmtId="209" fontId="0" fillId="0" borderId="1" xfId="0" applyNumberFormat="1" applyFill="1" applyBorder="1" applyAlignment="1">
      <alignment horizontal="center" vertical="center" wrapText="1"/>
    </xf>
    <xf numFmtId="210" fontId="0" fillId="0" borderId="1" xfId="0" applyNumberFormat="1" applyFill="1" applyBorder="1" applyAlignment="1">
      <alignment horizontal="center" vertical="center" wrapText="1"/>
    </xf>
    <xf numFmtId="192" fontId="21" fillId="0" borderId="1" xfId="2" applyNumberFormat="1" applyFill="1" applyBorder="1" applyAlignment="1">
      <alignment horizontal="center" vertical="center" wrapText="1"/>
    </xf>
    <xf numFmtId="184" fontId="21" fillId="0" borderId="1" xfId="2" applyNumberFormat="1" applyFill="1" applyBorder="1" applyAlignment="1">
      <alignment horizontal="center" vertical="center" wrapText="1"/>
    </xf>
    <xf numFmtId="0" fontId="0" fillId="0" borderId="1" xfId="0" applyFill="1" applyBorder="1" applyAlignment="1">
      <alignment horizontal="left" vertical="center"/>
    </xf>
    <xf numFmtId="0" fontId="0" fillId="8" borderId="1" xfId="0" applyFill="1" applyBorder="1" applyAlignment="1">
      <alignment horizontal="left" vertical="top" wrapText="1"/>
    </xf>
    <xf numFmtId="207" fontId="0" fillId="8" borderId="1" xfId="0" applyNumberFormat="1" applyFont="1" applyFill="1" applyBorder="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34" fillId="0" borderId="0" xfId="0" applyFont="1" applyBorder="1" applyAlignment="1">
      <alignment vertical="center" wrapText="1"/>
    </xf>
    <xf numFmtId="0" fontId="26" fillId="0" borderId="0" xfId="0" applyFont="1" applyBorder="1" applyAlignment="1">
      <alignment vertical="center" wrapText="1"/>
    </xf>
    <xf numFmtId="0" fontId="22" fillId="8" borderId="2" xfId="0" applyFont="1" applyFill="1" applyBorder="1" applyAlignment="1">
      <alignment horizontal="left" vertical="center" wrapText="1"/>
    </xf>
    <xf numFmtId="0" fontId="22" fillId="8" borderId="2" xfId="0" applyFont="1" applyFill="1" applyBorder="1" applyAlignment="1">
      <alignment horizontal="center" vertical="center" wrapText="1"/>
    </xf>
    <xf numFmtId="0" fontId="0" fillId="8" borderId="2" xfId="0" applyFill="1" applyBorder="1" applyAlignment="1">
      <alignment vertical="center" wrapText="1"/>
    </xf>
    <xf numFmtId="192" fontId="47" fillId="0" borderId="1" xfId="1" applyNumberFormat="1" applyFill="1" applyBorder="1" applyAlignment="1">
      <alignment horizontal="center" vertical="center" wrapText="1"/>
    </xf>
    <xf numFmtId="184" fontId="47" fillId="0" borderId="1" xfId="1" applyNumberFormat="1" applyFill="1" applyBorder="1" applyAlignment="1">
      <alignment horizontal="center" vertical="center" wrapText="1"/>
    </xf>
    <xf numFmtId="191" fontId="47" fillId="0" borderId="1" xfId="1" applyNumberFormat="1" applyFill="1" applyBorder="1" applyAlignment="1">
      <alignment horizontal="center" vertical="center" wrapText="1"/>
    </xf>
    <xf numFmtId="0" fontId="23" fillId="0" borderId="1" xfId="3" applyFill="1" applyBorder="1" applyAlignment="1">
      <alignment horizontal="center" vertical="center" wrapText="1"/>
    </xf>
    <xf numFmtId="191" fontId="23" fillId="12" borderId="12" xfId="3" applyNumberFormat="1" applyBorder="1" applyAlignment="1">
      <alignment horizontal="center" vertical="center" wrapText="1"/>
    </xf>
    <xf numFmtId="0" fontId="23" fillId="12" borderId="12" xfId="3" applyBorder="1" applyAlignment="1">
      <alignment horizontal="center" vertical="center" wrapText="1"/>
    </xf>
    <xf numFmtId="171" fontId="38" fillId="0" borderId="0" xfId="0" applyNumberFormat="1" applyFont="1"/>
    <xf numFmtId="0" fontId="38" fillId="0" borderId="0" xfId="0" applyFont="1" applyAlignment="1">
      <alignment horizontal="center" vertical="center"/>
    </xf>
    <xf numFmtId="0" fontId="38" fillId="0" borderId="0" xfId="0" applyFont="1" applyAlignment="1">
      <alignment vertical="top"/>
    </xf>
    <xf numFmtId="0" fontId="38" fillId="0" borderId="0" xfId="0" applyFont="1" applyAlignment="1"/>
    <xf numFmtId="0" fontId="38" fillId="0" borderId="0" xfId="0" applyFont="1" applyAlignment="1">
      <alignment horizontal="center" vertical="center" wrapText="1"/>
    </xf>
    <xf numFmtId="0" fontId="38" fillId="0" borderId="0" xfId="0" applyFont="1" applyAlignment="1">
      <alignment wrapText="1"/>
    </xf>
    <xf numFmtId="0" fontId="11" fillId="8" borderId="1" xfId="0" applyFont="1" applyFill="1" applyBorder="1" applyAlignment="1">
      <alignment horizontal="left" wrapText="1" indent="2"/>
    </xf>
    <xf numFmtId="0" fontId="35" fillId="0" borderId="1" xfId="7" applyBorder="1" applyAlignment="1">
      <alignment vertical="center"/>
    </xf>
    <xf numFmtId="0" fontId="36" fillId="0" borderId="1" xfId="0" applyFont="1" applyBorder="1" applyAlignment="1">
      <alignment vertical="center" wrapText="1"/>
    </xf>
    <xf numFmtId="0" fontId="67" fillId="0" borderId="1" xfId="11" applyFont="1" applyBorder="1" applyAlignment="1">
      <alignment horizontal="left" vertical="top"/>
    </xf>
    <xf numFmtId="0" fontId="68" fillId="0" borderId="1" xfId="11" applyFont="1" applyBorder="1" applyAlignment="1">
      <alignment horizontal="center" vertical="top" wrapText="1"/>
    </xf>
    <xf numFmtId="0" fontId="67" fillId="0" borderId="1" xfId="11" applyFont="1" applyBorder="1" applyAlignment="1">
      <alignment horizontal="center" vertical="top"/>
    </xf>
    <xf numFmtId="0" fontId="4" fillId="0" borderId="0" xfId="11" applyAlignment="1">
      <alignment vertical="top"/>
    </xf>
    <xf numFmtId="0" fontId="4" fillId="0" borderId="1" xfId="11" applyFont="1" applyBorder="1" applyAlignment="1">
      <alignment vertical="top"/>
    </xf>
    <xf numFmtId="221" fontId="4" fillId="0" borderId="1" xfId="11" applyNumberFormat="1" applyFont="1" applyBorder="1" applyAlignment="1">
      <alignment vertical="top"/>
    </xf>
    <xf numFmtId="0" fontId="69" fillId="0" borderId="1" xfId="11" applyFont="1" applyBorder="1" applyAlignment="1">
      <alignment vertical="top" wrapText="1"/>
    </xf>
    <xf numFmtId="179" fontId="4" fillId="13" borderId="1" xfId="11" applyNumberFormat="1" applyFill="1" applyBorder="1" applyAlignment="1">
      <alignment vertical="top"/>
    </xf>
    <xf numFmtId="222" fontId="4" fillId="0" borderId="1" xfId="11" applyNumberFormat="1" applyBorder="1" applyAlignment="1">
      <alignment vertical="top"/>
    </xf>
    <xf numFmtId="0" fontId="69" fillId="14" borderId="1" xfId="11" applyFont="1" applyFill="1" applyBorder="1" applyAlignment="1">
      <alignment vertical="top" wrapText="1"/>
    </xf>
    <xf numFmtId="179" fontId="4" fillId="14" borderId="1" xfId="11" applyNumberFormat="1" applyFill="1" applyBorder="1" applyAlignment="1">
      <alignment vertical="top"/>
    </xf>
    <xf numFmtId="222" fontId="4" fillId="14" borderId="1" xfId="11" applyNumberFormat="1" applyFill="1" applyBorder="1" applyAlignment="1">
      <alignment vertical="top"/>
    </xf>
    <xf numFmtId="178" fontId="4" fillId="13" borderId="1" xfId="11" applyNumberFormat="1" applyFill="1" applyBorder="1" applyAlignment="1">
      <alignment vertical="top"/>
    </xf>
    <xf numFmtId="0" fontId="66" fillId="0" borderId="0" xfId="12"/>
    <xf numFmtId="0" fontId="73" fillId="13" borderId="25" xfId="12" applyFont="1" applyFill="1" applyBorder="1"/>
    <xf numFmtId="0" fontId="73" fillId="13" borderId="0" xfId="12" applyFont="1" applyFill="1" applyBorder="1"/>
    <xf numFmtId="0" fontId="73" fillId="13" borderId="26" xfId="12" applyFont="1" applyFill="1" applyBorder="1"/>
    <xf numFmtId="0" fontId="73" fillId="0" borderId="0" xfId="12" applyFont="1"/>
    <xf numFmtId="0" fontId="77" fillId="0" borderId="0" xfId="12" applyFont="1" applyAlignment="1">
      <alignment horizontal="justify" vertical="center"/>
    </xf>
    <xf numFmtId="0" fontId="73" fillId="13" borderId="28" xfId="12" applyFont="1" applyFill="1" applyBorder="1"/>
    <xf numFmtId="0" fontId="73" fillId="13" borderId="29" xfId="12" applyFont="1" applyFill="1" applyBorder="1"/>
    <xf numFmtId="0" fontId="73" fillId="13" borderId="30" xfId="12" applyFont="1" applyFill="1" applyBorder="1"/>
    <xf numFmtId="0" fontId="66" fillId="11" borderId="22" xfId="12" applyFill="1" applyBorder="1"/>
    <xf numFmtId="0" fontId="66" fillId="11" borderId="23" xfId="12" applyFill="1" applyBorder="1"/>
    <xf numFmtId="0" fontId="66" fillId="11" borderId="24" xfId="12" applyFill="1" applyBorder="1"/>
    <xf numFmtId="0" fontId="66" fillId="11" borderId="25" xfId="12" applyFill="1" applyBorder="1"/>
    <xf numFmtId="0" fontId="66" fillId="11" borderId="26" xfId="12" applyFill="1" applyBorder="1"/>
    <xf numFmtId="0" fontId="66" fillId="11" borderId="28" xfId="12" applyFill="1" applyBorder="1"/>
    <xf numFmtId="10" fontId="87" fillId="11" borderId="29" xfId="12" applyNumberFormat="1" applyFont="1" applyFill="1" applyBorder="1" applyAlignment="1">
      <alignment horizontal="center" vertical="center"/>
    </xf>
    <xf numFmtId="0" fontId="66" fillId="11" borderId="29" xfId="12" applyFill="1" applyBorder="1"/>
    <xf numFmtId="0" fontId="66" fillId="11" borderId="30" xfId="12" applyFill="1" applyBorder="1"/>
    <xf numFmtId="2" fontId="23" fillId="12" borderId="12" xfId="3" applyNumberFormat="1" applyBorder="1" applyAlignment="1">
      <alignment horizontal="center" vertical="center" wrapText="1"/>
    </xf>
    <xf numFmtId="0" fontId="0" fillId="0" borderId="1" xfId="0" applyFill="1" applyBorder="1" applyAlignment="1">
      <alignment vertical="top"/>
    </xf>
    <xf numFmtId="223" fontId="0" fillId="8" borderId="1" xfId="0" applyNumberFormat="1" applyFill="1" applyBorder="1" applyAlignment="1">
      <alignment horizontal="center" vertical="center" wrapText="1"/>
    </xf>
    <xf numFmtId="0" fontId="0" fillId="0" borderId="18" xfId="0" applyBorder="1" applyAlignment="1">
      <alignment vertical="top" wrapText="1"/>
    </xf>
    <xf numFmtId="0" fontId="3" fillId="0" borderId="1" xfId="11" applyFont="1" applyBorder="1" applyAlignment="1">
      <alignment vertical="top"/>
    </xf>
    <xf numFmtId="0" fontId="22" fillId="0" borderId="1" xfId="0" applyFont="1" applyBorder="1" applyAlignment="1">
      <alignment horizontal="center" vertical="center"/>
    </xf>
    <xf numFmtId="0" fontId="22" fillId="6" borderId="1" xfId="0" applyFont="1" applyFill="1" applyBorder="1" applyAlignment="1">
      <alignment horizontal="center" vertical="center"/>
    </xf>
    <xf numFmtId="0" fontId="21" fillId="2" borderId="1" xfId="2" applyBorder="1" applyAlignment="1">
      <alignment horizontal="center" vertical="center"/>
    </xf>
    <xf numFmtId="0" fontId="75" fillId="2" borderId="1" xfId="13" applyBorder="1" applyAlignment="1">
      <alignment horizontal="center" vertical="center"/>
    </xf>
    <xf numFmtId="202" fontId="47" fillId="5" borderId="1" xfId="1" applyNumberFormat="1" applyBorder="1" applyAlignment="1">
      <alignment horizontal="center" vertical="center"/>
    </xf>
    <xf numFmtId="0" fontId="0" fillId="0" borderId="1" xfId="0"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6"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left" vertical="center"/>
    </xf>
    <xf numFmtId="224" fontId="27" fillId="0" borderId="0" xfId="0" applyNumberFormat="1" applyFont="1" applyAlignment="1">
      <alignment horizontal="center" vertical="center"/>
    </xf>
    <xf numFmtId="211" fontId="27" fillId="0" borderId="0" xfId="0" applyNumberFormat="1" applyFont="1" applyAlignment="1">
      <alignment horizontal="center" vertical="center"/>
    </xf>
    <xf numFmtId="182" fontId="27" fillId="0" borderId="0" xfId="0" applyNumberFormat="1" applyFont="1" applyAlignment="1">
      <alignment horizontal="center" vertical="center"/>
    </xf>
    <xf numFmtId="197" fontId="27" fillId="0" borderId="0" xfId="0" applyNumberFormat="1" applyFont="1" applyAlignment="1">
      <alignment horizontal="center" vertical="center"/>
    </xf>
    <xf numFmtId="225" fontId="27" fillId="0" borderId="0" xfId="0" applyNumberFormat="1" applyFont="1" applyAlignment="1">
      <alignment horizontal="center" vertical="center"/>
    </xf>
    <xf numFmtId="171" fontId="27" fillId="0" borderId="0" xfId="0" applyNumberFormat="1" applyFont="1" applyAlignment="1">
      <alignment horizontal="center" vertical="center"/>
    </xf>
    <xf numFmtId="198" fontId="27" fillId="0" borderId="0" xfId="0" applyNumberFormat="1" applyFont="1" applyAlignment="1">
      <alignment horizontal="center" vertical="center"/>
    </xf>
    <xf numFmtId="170" fontId="27" fillId="0" borderId="0" xfId="0" applyNumberFormat="1" applyFont="1" applyAlignment="1">
      <alignment horizontal="center" vertical="center"/>
    </xf>
    <xf numFmtId="9" fontId="27" fillId="0" borderId="0" xfId="0" applyNumberFormat="1" applyFont="1" applyAlignment="1">
      <alignment horizontal="center" vertical="center"/>
    </xf>
    <xf numFmtId="0" fontId="34" fillId="0" borderId="1" xfId="0" applyFont="1" applyBorder="1" applyAlignment="1">
      <alignment horizontal="center" vertical="center"/>
    </xf>
    <xf numFmtId="182" fontId="0" fillId="0" borderId="1" xfId="0" applyNumberFormat="1" applyBorder="1" applyAlignment="1">
      <alignment horizontal="center" vertical="center"/>
    </xf>
    <xf numFmtId="182" fontId="0" fillId="0" borderId="1" xfId="0" applyNumberFormat="1" applyBorder="1" applyAlignment="1">
      <alignment horizontal="center" vertical="center"/>
    </xf>
    <xf numFmtId="222" fontId="0" fillId="0" borderId="1" xfId="0" applyNumberFormat="1" applyBorder="1" applyAlignment="1">
      <alignment horizontal="center" vertical="center"/>
    </xf>
    <xf numFmtId="0" fontId="0" fillId="0" borderId="1" xfId="0" applyBorder="1"/>
    <xf numFmtId="179" fontId="90" fillId="0" borderId="1" xfId="0" applyNumberFormat="1" applyFont="1" applyBorder="1" applyAlignment="1">
      <alignment horizontal="right" vertical="center"/>
    </xf>
    <xf numFmtId="0" fontId="89" fillId="0" borderId="1" xfId="0" applyFont="1" applyBorder="1" applyAlignment="1">
      <alignment horizontal="center" vertical="center"/>
    </xf>
    <xf numFmtId="227" fontId="90" fillId="0" borderId="1" xfId="0" applyNumberFormat="1" applyFont="1" applyBorder="1" applyAlignment="1">
      <alignment horizontal="right" vertical="center"/>
    </xf>
    <xf numFmtId="0" fontId="0" fillId="0" borderId="1" xfId="0" applyBorder="1" applyAlignment="1"/>
    <xf numFmtId="0" fontId="89" fillId="0" borderId="1" xfId="0" applyFont="1" applyBorder="1" applyAlignment="1">
      <alignment horizontal="left" vertical="center"/>
    </xf>
    <xf numFmtId="0" fontId="91" fillId="0" borderId="1" xfId="0" applyFont="1" applyBorder="1"/>
    <xf numFmtId="228" fontId="90" fillId="0" borderId="1" xfId="0" applyNumberFormat="1" applyFont="1" applyBorder="1" applyAlignment="1">
      <alignment horizontal="right" vertical="center"/>
    </xf>
    <xf numFmtId="229" fontId="90" fillId="0" borderId="1" xfId="0" applyNumberFormat="1" applyFont="1" applyBorder="1" applyAlignment="1">
      <alignment horizontal="right" vertical="center"/>
    </xf>
    <xf numFmtId="0" fontId="0" fillId="0" borderId="0" xfId="0" applyAlignment="1">
      <alignment wrapText="1"/>
    </xf>
    <xf numFmtId="0" fontId="29" fillId="0" borderId="1" xfId="0" applyFont="1" applyBorder="1" applyAlignment="1">
      <alignment horizontal="left" vertical="center" wrapText="1"/>
    </xf>
    <xf numFmtId="226" fontId="89" fillId="0" borderId="1" xfId="0" applyNumberFormat="1" applyFont="1" applyBorder="1" applyAlignment="1">
      <alignment horizontal="right" vertical="center"/>
    </xf>
    <xf numFmtId="228" fontId="89" fillId="0" borderId="1" xfId="0" applyNumberFormat="1" applyFont="1" applyBorder="1" applyAlignment="1">
      <alignment horizontal="right" vertical="center"/>
    </xf>
    <xf numFmtId="227" fontId="89" fillId="0" borderId="1" xfId="0" applyNumberFormat="1" applyFont="1" applyBorder="1" applyAlignment="1">
      <alignment horizontal="right" vertical="center"/>
    </xf>
    <xf numFmtId="229" fontId="89" fillId="0" borderId="1" xfId="0" applyNumberFormat="1" applyFont="1" applyBorder="1" applyAlignment="1">
      <alignment horizontal="right" vertical="center"/>
    </xf>
    <xf numFmtId="0" fontId="89" fillId="0" borderId="1" xfId="0" applyFont="1" applyBorder="1" applyAlignment="1">
      <alignment horizontal="center" vertical="center" wrapText="1"/>
    </xf>
    <xf numFmtId="0" fontId="73" fillId="13" borderId="0" xfId="12" applyFont="1" applyFill="1"/>
    <xf numFmtId="0" fontId="74" fillId="0" borderId="1" xfId="12" applyFont="1" applyBorder="1" applyAlignment="1">
      <alignment horizontal="center" vertical="center" wrapText="1"/>
    </xf>
    <xf numFmtId="230" fontId="76" fillId="2" borderId="27" xfId="13" applyNumberFormat="1" applyFont="1" applyBorder="1" applyAlignment="1">
      <alignment horizontal="center" vertical="center"/>
    </xf>
    <xf numFmtId="231" fontId="76" fillId="2" borderId="27" xfId="13" applyNumberFormat="1" applyFont="1" applyBorder="1" applyAlignment="1">
      <alignment horizontal="center" vertical="center"/>
    </xf>
    <xf numFmtId="9" fontId="73" fillId="13" borderId="0" xfId="12" applyNumberFormat="1" applyFont="1" applyFill="1" applyAlignment="1">
      <alignment horizontal="right"/>
    </xf>
    <xf numFmtId="9" fontId="73" fillId="13" borderId="0" xfId="12" applyNumberFormat="1" applyFont="1" applyFill="1" applyAlignment="1">
      <alignment horizontal="left"/>
    </xf>
    <xf numFmtId="9" fontId="81" fillId="13" borderId="0" xfId="12" applyNumberFormat="1" applyFont="1" applyFill="1" applyAlignment="1">
      <alignment horizontal="left" vertical="center"/>
    </xf>
    <xf numFmtId="0" fontId="92" fillId="0" borderId="1" xfId="12" applyFont="1" applyBorder="1" applyAlignment="1">
      <alignment horizontal="center" vertical="center" wrapText="1"/>
    </xf>
    <xf numFmtId="9" fontId="81" fillId="13" borderId="0" xfId="12" applyNumberFormat="1" applyFont="1" applyFill="1" applyAlignment="1">
      <alignment horizontal="left" vertical="center" indent="2"/>
    </xf>
    <xf numFmtId="230" fontId="78" fillId="7" borderId="3" xfId="14" applyNumberFormat="1" applyAlignment="1">
      <alignment horizontal="center" vertical="center"/>
    </xf>
    <xf numFmtId="231" fontId="78" fillId="7" borderId="3" xfId="14" applyNumberFormat="1" applyAlignment="1">
      <alignment horizontal="center" vertical="center"/>
    </xf>
    <xf numFmtId="222" fontId="79" fillId="13" borderId="0" xfId="12" applyNumberFormat="1" applyFont="1" applyFill="1" applyAlignment="1">
      <alignment horizontal="center" vertical="center"/>
    </xf>
    <xf numFmtId="0" fontId="73" fillId="13" borderId="0" xfId="12" applyFont="1" applyFill="1" applyAlignment="1">
      <alignment vertical="center"/>
    </xf>
    <xf numFmtId="10" fontId="80" fillId="13" borderId="0" xfId="12" applyNumberFormat="1" applyFont="1" applyFill="1" applyAlignment="1">
      <alignment horizontal="center" vertical="center"/>
    </xf>
    <xf numFmtId="0" fontId="81" fillId="13" borderId="0" xfId="12" applyFont="1" applyFill="1" applyAlignment="1">
      <alignment horizontal="center" vertical="center"/>
    </xf>
    <xf numFmtId="9" fontId="73" fillId="13" borderId="0" xfId="12" applyNumberFormat="1" applyFont="1" applyFill="1" applyAlignment="1">
      <alignment horizontal="center" vertical="center"/>
    </xf>
    <xf numFmtId="230" fontId="76" fillId="2" borderId="3" xfId="13" applyNumberFormat="1" applyFont="1" applyAlignment="1">
      <alignment horizontal="center" vertical="center"/>
    </xf>
    <xf numFmtId="0" fontId="94" fillId="5" borderId="3" xfId="15" applyFont="1" applyFill="1" applyAlignment="1">
      <alignment horizontal="center" vertical="center"/>
    </xf>
    <xf numFmtId="0" fontId="92" fillId="11" borderId="23" xfId="12" applyFont="1" applyFill="1" applyBorder="1" applyAlignment="1">
      <alignment horizontal="center" vertical="center"/>
    </xf>
    <xf numFmtId="0" fontId="66" fillId="0" borderId="22" xfId="12" applyBorder="1"/>
    <xf numFmtId="0" fontId="66" fillId="0" borderId="23" xfId="12" applyBorder="1"/>
    <xf numFmtId="0" fontId="82" fillId="0" borderId="0" xfId="16" applyFont="1" applyAlignment="1" applyProtection="1">
      <alignment horizontal="center" vertical="center" wrapText="1"/>
      <protection hidden="1"/>
    </xf>
    <xf numFmtId="0" fontId="66" fillId="11" borderId="0" xfId="12" applyFill="1"/>
    <xf numFmtId="230" fontId="83" fillId="7" borderId="3" xfId="14" applyNumberFormat="1" applyFont="1" applyAlignment="1">
      <alignment horizontal="center" vertical="center"/>
    </xf>
    <xf numFmtId="0" fontId="92" fillId="11" borderId="0" xfId="12" applyFont="1" applyFill="1" applyAlignment="1">
      <alignment horizontal="center" vertical="center"/>
    </xf>
    <xf numFmtId="0" fontId="92" fillId="11" borderId="40" xfId="12" applyFont="1" applyFill="1" applyBorder="1" applyAlignment="1">
      <alignment horizontal="center" vertical="center"/>
    </xf>
    <xf numFmtId="0" fontId="95" fillId="15" borderId="31" xfId="18" applyFont="1" applyFill="1" applyBorder="1" applyAlignment="1">
      <alignment horizontal="center" vertical="center" wrapText="1" readingOrder="1"/>
    </xf>
    <xf numFmtId="222" fontId="78" fillId="7" borderId="3" xfId="14" applyNumberFormat="1" applyAlignment="1">
      <alignment horizontal="center" vertical="center"/>
    </xf>
    <xf numFmtId="0" fontId="73" fillId="11" borderId="0" xfId="12" applyFont="1" applyFill="1" applyAlignment="1">
      <alignment horizontal="center" vertical="center"/>
    </xf>
    <xf numFmtId="0" fontId="92" fillId="11" borderId="40" xfId="12" applyFont="1" applyFill="1" applyBorder="1" applyAlignment="1">
      <alignment horizontal="center" vertical="center" wrapText="1"/>
    </xf>
    <xf numFmtId="0" fontId="66" fillId="0" borderId="25" xfId="12" applyBorder="1"/>
    <xf numFmtId="222" fontId="86" fillId="11" borderId="34" xfId="12" applyNumberFormat="1" applyFont="1" applyFill="1" applyBorder="1" applyAlignment="1">
      <alignment horizontal="center" vertical="center"/>
    </xf>
    <xf numFmtId="1" fontId="36" fillId="0" borderId="0" xfId="17" applyNumberFormat="1" applyAlignment="1">
      <alignment vertical="center" wrapText="1"/>
    </xf>
    <xf numFmtId="10" fontId="87" fillId="11" borderId="0" xfId="12" applyNumberFormat="1" applyFont="1" applyFill="1" applyAlignment="1">
      <alignment horizontal="center" vertical="center"/>
    </xf>
    <xf numFmtId="0" fontId="22" fillId="11" borderId="0" xfId="12" applyFont="1" applyFill="1" applyAlignment="1">
      <alignment horizontal="center" vertical="center"/>
    </xf>
    <xf numFmtId="231" fontId="83" fillId="7" borderId="3" xfId="14" applyNumberFormat="1" applyFont="1" applyAlignment="1">
      <alignment horizontal="center" vertical="center"/>
    </xf>
    <xf numFmtId="0" fontId="81" fillId="11" borderId="0" xfId="12" applyFont="1" applyFill="1" applyAlignment="1">
      <alignment horizontal="center" vertical="center"/>
    </xf>
    <xf numFmtId="0" fontId="89" fillId="0" borderId="1" xfId="0" applyFont="1" applyBorder="1" applyAlignment="1">
      <alignment horizontal="center" vertical="center" wrapText="1"/>
    </xf>
    <xf numFmtId="0" fontId="90"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0" fillId="0" borderId="1" xfId="0" applyBorder="1" applyAlignment="1">
      <alignment horizontal="left" vertical="center" wrapText="1"/>
    </xf>
    <xf numFmtId="0" fontId="34" fillId="0" borderId="0" xfId="0" applyFont="1" applyFill="1" applyBorder="1" applyAlignment="1">
      <alignment vertical="center" wrapText="1"/>
    </xf>
    <xf numFmtId="0" fontId="34" fillId="0" borderId="19" xfId="0" applyFont="1" applyFill="1" applyBorder="1" applyAlignment="1">
      <alignment vertical="center" wrapText="1"/>
    </xf>
    <xf numFmtId="0" fontId="34" fillId="0" borderId="0" xfId="0" applyFont="1" applyFill="1" applyAlignment="1">
      <alignment vertical="center" wrapText="1"/>
    </xf>
    <xf numFmtId="0" fontId="22" fillId="3" borderId="1" xfId="0" applyFont="1" applyFill="1" applyBorder="1" applyAlignment="1">
      <alignment vertical="center" wrapText="1"/>
    </xf>
    <xf numFmtId="0" fontId="22" fillId="3" borderId="1" xfId="0" applyFont="1" applyFill="1" applyBorder="1" applyAlignment="1">
      <alignment horizontal="center" vertical="center" wrapText="1"/>
    </xf>
    <xf numFmtId="179" fontId="4" fillId="17" borderId="1" xfId="11" applyNumberFormat="1" applyFill="1" applyBorder="1" applyAlignment="1">
      <alignment vertical="top"/>
    </xf>
    <xf numFmtId="0" fontId="68" fillId="17" borderId="1" xfId="11" applyFont="1" applyFill="1" applyBorder="1" applyAlignment="1">
      <alignment horizontal="center" vertical="top" wrapText="1"/>
    </xf>
    <xf numFmtId="9" fontId="81" fillId="13" borderId="0" xfId="12" applyNumberFormat="1" applyFont="1" applyFill="1" applyAlignment="1">
      <alignment horizontal="left" vertical="center" indent="2"/>
    </xf>
    <xf numFmtId="0" fontId="0" fillId="6" borderId="2" xfId="0" applyFill="1" applyBorder="1" applyAlignment="1">
      <alignment vertical="center" wrapText="1"/>
    </xf>
    <xf numFmtId="0" fontId="38" fillId="0" borderId="1" xfId="0" applyFont="1" applyBorder="1" applyAlignment="1">
      <alignment horizontal="justify" vertical="center" wrapText="1"/>
    </xf>
    <xf numFmtId="0" fontId="98" fillId="0" borderId="1" xfId="0" applyFont="1" applyBorder="1" applyAlignment="1">
      <alignment horizontal="justify" vertical="center" wrapText="1"/>
    </xf>
    <xf numFmtId="0" fontId="100" fillId="0" borderId="1" xfId="0" applyFont="1" applyBorder="1" applyAlignment="1">
      <alignment horizontal="center" vertical="top"/>
    </xf>
    <xf numFmtId="0" fontId="101" fillId="0" borderId="1" xfId="0" applyFont="1" applyBorder="1" applyAlignment="1">
      <alignment horizontal="center" vertical="top"/>
    </xf>
    <xf numFmtId="0" fontId="101" fillId="0" borderId="0" xfId="0" applyFont="1" applyAlignment="1">
      <alignment horizontal="center" vertical="top"/>
    </xf>
    <xf numFmtId="0" fontId="68" fillId="13" borderId="1" xfId="11" applyFont="1" applyFill="1" applyBorder="1" applyAlignment="1">
      <alignment horizontal="center" vertical="top" wrapText="1"/>
    </xf>
    <xf numFmtId="222" fontId="78" fillId="7" borderId="27" xfId="14" applyNumberFormat="1" applyBorder="1" applyAlignment="1">
      <alignment horizontal="center" vertical="center"/>
    </xf>
    <xf numFmtId="0" fontId="73" fillId="11" borderId="1" xfId="12" applyFont="1" applyFill="1" applyBorder="1" applyAlignment="1">
      <alignment horizontal="center" vertical="center"/>
    </xf>
    <xf numFmtId="0" fontId="92" fillId="11" borderId="1" xfId="12" applyFont="1" applyFill="1" applyBorder="1" applyAlignment="1">
      <alignment horizontal="center" vertical="center"/>
    </xf>
    <xf numFmtId="0" fontId="92" fillId="11" borderId="1" xfId="12" applyFont="1" applyFill="1" applyBorder="1" applyAlignment="1">
      <alignment horizontal="center" vertical="center" wrapText="1"/>
    </xf>
    <xf numFmtId="231" fontId="83" fillId="7" borderId="43" xfId="14" applyNumberFormat="1" applyFont="1" applyBorder="1" applyAlignment="1">
      <alignment horizontal="center" vertical="center"/>
    </xf>
    <xf numFmtId="230" fontId="83" fillId="7" borderId="27" xfId="14" applyNumberFormat="1" applyFont="1" applyBorder="1" applyAlignment="1">
      <alignment horizontal="center" vertical="center"/>
    </xf>
    <xf numFmtId="0" fontId="81" fillId="11" borderId="1" xfId="12" applyFont="1" applyFill="1" applyBorder="1" applyAlignment="1">
      <alignment horizontal="center" vertical="center"/>
    </xf>
    <xf numFmtId="179" fontId="62" fillId="3" borderId="1" xfId="1" applyNumberFormat="1" applyFont="1" applyFill="1" applyBorder="1" applyAlignment="1">
      <alignment horizontal="center" vertical="center" wrapText="1"/>
    </xf>
    <xf numFmtId="218" fontId="0" fillId="0" borderId="1" xfId="0" applyNumberFormat="1" applyBorder="1" applyAlignment="1">
      <alignment horizontal="center" vertical="center" wrapText="1"/>
    </xf>
    <xf numFmtId="215" fontId="0" fillId="0" borderId="1" xfId="0" applyNumberFormat="1" applyBorder="1" applyAlignment="1">
      <alignment horizontal="center" vertical="center" wrapText="1"/>
    </xf>
    <xf numFmtId="217" fontId="0" fillId="3" borderId="1" xfId="0" applyNumberFormat="1" applyFill="1" applyBorder="1" applyAlignment="1">
      <alignment horizontal="left" vertical="center" wrapText="1"/>
    </xf>
    <xf numFmtId="217" fontId="0" fillId="3" borderId="2" xfId="0" applyNumberFormat="1" applyFill="1" applyBorder="1" applyAlignment="1">
      <alignment horizontal="center" vertical="center" wrapText="1"/>
    </xf>
    <xf numFmtId="220" fontId="0" fillId="0" borderId="1" xfId="0" applyNumberFormat="1" applyFill="1" applyBorder="1" applyAlignment="1">
      <alignment horizontal="center" vertical="center" wrapText="1"/>
    </xf>
    <xf numFmtId="168" fontId="62" fillId="3" borderId="1" xfId="1" applyNumberFormat="1" applyFont="1" applyFill="1" applyBorder="1" applyAlignment="1">
      <alignment horizontal="center" vertical="center" wrapText="1"/>
    </xf>
    <xf numFmtId="189" fontId="62" fillId="3" borderId="1" xfId="1" applyNumberFormat="1" applyFont="1" applyFill="1" applyBorder="1" applyAlignment="1">
      <alignment horizontal="center" vertical="center" wrapText="1"/>
    </xf>
    <xf numFmtId="0" fontId="0" fillId="0" borderId="1" xfId="0" applyFont="1" applyBorder="1" applyAlignment="1">
      <alignment vertical="top" wrapText="1"/>
    </xf>
    <xf numFmtId="207" fontId="48" fillId="7" borderId="13" xfId="8" applyNumberFormat="1" applyFont="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179" fontId="47" fillId="0" borderId="1" xfId="1" applyNumberFormat="1" applyFont="1" applyFill="1" applyBorder="1" applyAlignment="1">
      <alignment horizontal="center" vertical="center" wrapText="1"/>
    </xf>
    <xf numFmtId="168" fontId="47" fillId="0" borderId="1" xfId="1" applyNumberFormat="1" applyFont="1" applyFill="1" applyBorder="1" applyAlignment="1">
      <alignment horizontal="center" vertical="center" wrapText="1"/>
    </xf>
    <xf numFmtId="189" fontId="47" fillId="5" borderId="1" xfId="1" applyNumberFormat="1" applyFont="1" applyBorder="1" applyAlignment="1">
      <alignment horizontal="center" vertical="center" wrapText="1"/>
    </xf>
    <xf numFmtId="219" fontId="0" fillId="16" borderId="1" xfId="0" applyNumberFormat="1" applyFill="1" applyBorder="1" applyAlignment="1">
      <alignment horizontal="left" vertical="center" wrapText="1"/>
    </xf>
    <xf numFmtId="219" fontId="0" fillId="16" borderId="1" xfId="0" applyNumberFormat="1" applyFill="1" applyBorder="1" applyAlignment="1">
      <alignment horizontal="center" vertical="center" wrapText="1"/>
    </xf>
    <xf numFmtId="216" fontId="0" fillId="0" borderId="1" xfId="0" applyNumberFormat="1" applyBorder="1" applyAlignment="1">
      <alignment horizontal="center" vertical="center" wrapText="1"/>
    </xf>
    <xf numFmtId="208" fontId="60" fillId="8" borderId="1" xfId="10" applyNumberFormat="1" applyFill="1" applyBorder="1" applyAlignment="1">
      <alignment vertical="center" wrapText="1"/>
    </xf>
    <xf numFmtId="0" fontId="67" fillId="0" borderId="1" xfId="19" applyFont="1" applyBorder="1" applyAlignment="1">
      <alignment horizontal="center" vertical="center"/>
    </xf>
    <xf numFmtId="0" fontId="68" fillId="0" borderId="1" xfId="19" applyFont="1" applyBorder="1" applyAlignment="1">
      <alignment horizontal="center" vertical="center" wrapText="1"/>
    </xf>
    <xf numFmtId="180" fontId="0" fillId="0" borderId="1" xfId="0" applyNumberFormat="1" applyBorder="1" applyAlignment="1">
      <alignment horizontal="center" vertical="center" wrapText="1"/>
    </xf>
    <xf numFmtId="233" fontId="0" fillId="0" borderId="1" xfId="0" applyNumberFormat="1" applyBorder="1" applyAlignment="1">
      <alignment horizontal="center" vertical="center" wrapText="1"/>
    </xf>
    <xf numFmtId="0" fontId="1" fillId="0" borderId="1" xfId="19" applyBorder="1" applyAlignment="1">
      <alignment horizontal="center" vertical="center"/>
    </xf>
    <xf numFmtId="221" fontId="1" fillId="0" borderId="1" xfId="19" applyNumberFormat="1" applyBorder="1" applyAlignment="1">
      <alignment horizontal="center" vertical="center"/>
    </xf>
    <xf numFmtId="217" fontId="0" fillId="0" borderId="1" xfId="0" applyNumberFormat="1" applyBorder="1" applyAlignment="1">
      <alignment horizontal="left" vertical="center" wrapText="1"/>
    </xf>
    <xf numFmtId="219" fontId="0" fillId="0" borderId="1" xfId="0" applyNumberFormat="1" applyBorder="1" applyAlignment="1">
      <alignment horizontal="left" vertical="center" wrapText="1"/>
    </xf>
    <xf numFmtId="168" fontId="62" fillId="5" borderId="1" xfId="1" applyNumberFormat="1" applyFont="1" applyBorder="1" applyAlignment="1">
      <alignment horizontal="center" vertical="center" wrapText="1"/>
    </xf>
    <xf numFmtId="189" fontId="62" fillId="5" borderId="1" xfId="1" applyNumberFormat="1" applyFont="1" applyBorder="1" applyAlignment="1">
      <alignment horizontal="center" vertical="center" wrapText="1"/>
    </xf>
    <xf numFmtId="179" fontId="0" fillId="5" borderId="1" xfId="0" applyNumberFormat="1" applyFill="1" applyBorder="1" applyAlignment="1">
      <alignment horizontal="center" vertical="center" wrapText="1"/>
    </xf>
    <xf numFmtId="179" fontId="62" fillId="5" borderId="1" xfId="1" applyNumberFormat="1" applyFont="1" applyBorder="1" applyAlignment="1">
      <alignment horizontal="center" vertical="center" wrapText="1"/>
    </xf>
    <xf numFmtId="205" fontId="47" fillId="5" borderId="12" xfId="1" applyNumberFormat="1" applyAlignment="1">
      <alignment horizontal="center"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207" fontId="47" fillId="0" borderId="1" xfId="1" applyNumberFormat="1" applyFill="1" applyBorder="1" applyAlignment="1">
      <alignment horizontal="center" vertical="center" wrapText="1"/>
    </xf>
    <xf numFmtId="0" fontId="22" fillId="0" borderId="1" xfId="0" applyFont="1" applyBorder="1" applyAlignment="1">
      <alignment horizontal="center" vertical="center" textRotation="90" wrapText="1"/>
    </xf>
    <xf numFmtId="207" fontId="47" fillId="5" borderId="1" xfId="1" applyNumberFormat="1" applyBorder="1" applyAlignment="1">
      <alignment horizontal="center" vertical="center" wrapText="1"/>
    </xf>
    <xf numFmtId="207" fontId="48" fillId="7" borderId="1" xfId="8" applyNumberFormat="1" applyBorder="1" applyAlignment="1">
      <alignment horizontal="center" vertical="center" wrapText="1"/>
    </xf>
    <xf numFmtId="172" fontId="47" fillId="5" borderId="1" xfId="1" applyNumberFormat="1" applyBorder="1" applyAlignment="1">
      <alignment horizontal="center" vertical="center" wrapText="1"/>
    </xf>
    <xf numFmtId="173" fontId="58" fillId="5" borderId="1" xfId="1" applyNumberFormat="1" applyFont="1" applyBorder="1" applyAlignment="1">
      <alignment horizontal="center" vertical="center" wrapText="1"/>
    </xf>
    <xf numFmtId="173" fontId="62" fillId="5" borderId="1" xfId="1" applyNumberFormat="1" applyFont="1" applyBorder="1" applyAlignment="1">
      <alignment horizontal="center" vertical="center" wrapText="1"/>
    </xf>
    <xf numFmtId="173" fontId="47" fillId="5" borderId="1" xfId="1" applyNumberFormat="1" applyBorder="1" applyAlignment="1">
      <alignment horizontal="center" vertical="center" wrapText="1"/>
    </xf>
    <xf numFmtId="174" fontId="21" fillId="2" borderId="1" xfId="2" applyNumberFormat="1" applyBorder="1" applyAlignment="1">
      <alignment horizontal="center" vertical="center" wrapText="1"/>
    </xf>
    <xf numFmtId="234" fontId="0" fillId="0" borderId="1" xfId="0" applyNumberFormat="1" applyBorder="1" applyAlignment="1">
      <alignment horizontal="center" vertical="center" wrapText="1"/>
    </xf>
    <xf numFmtId="235" fontId="47" fillId="5" borderId="12" xfId="1" applyNumberFormat="1" applyAlignment="1">
      <alignment horizontal="center" vertical="center" wrapText="1"/>
    </xf>
    <xf numFmtId="0" fontId="26" fillId="0" borderId="1" xfId="0" applyFont="1" applyBorder="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89" fillId="0" borderId="1" xfId="0" applyFont="1" applyBorder="1" applyAlignment="1">
      <alignment horizontal="center" textRotation="90"/>
    </xf>
    <xf numFmtId="0" fontId="90" fillId="0" borderId="6" xfId="0" applyFont="1" applyBorder="1" applyAlignment="1">
      <alignment horizontal="center" vertical="center" wrapText="1"/>
    </xf>
    <xf numFmtId="0" fontId="90" fillId="0" borderId="8" xfId="0" applyFont="1" applyBorder="1" applyAlignment="1">
      <alignment horizontal="center" vertical="center" wrapText="1"/>
    </xf>
    <xf numFmtId="0" fontId="0" fillId="0" borderId="36" xfId="0" applyBorder="1" applyAlignment="1">
      <alignment horizontal="center" wrapText="1"/>
    </xf>
    <xf numFmtId="0" fontId="0" fillId="0" borderId="37" xfId="0" applyBorder="1" applyAlignment="1">
      <alignment horizontal="center" wrapText="1"/>
    </xf>
    <xf numFmtId="0" fontId="0" fillId="0" borderId="38" xfId="0" applyBorder="1" applyAlignment="1">
      <alignment horizontal="center" wrapText="1"/>
    </xf>
    <xf numFmtId="0" fontId="0" fillId="0" borderId="11" xfId="0" applyBorder="1" applyAlignment="1">
      <alignment horizontal="center" wrapText="1"/>
    </xf>
    <xf numFmtId="0" fontId="95" fillId="15" borderId="41" xfId="18" applyFont="1" applyFill="1" applyBorder="1" applyAlignment="1">
      <alignment horizontal="center" vertical="top" wrapText="1" readingOrder="1"/>
    </xf>
    <xf numFmtId="0" fontId="95" fillId="15" borderId="42" xfId="18" applyFont="1" applyFill="1" applyBorder="1" applyAlignment="1">
      <alignment horizontal="center" vertical="top" wrapText="1" readingOrder="1"/>
    </xf>
    <xf numFmtId="0" fontId="95" fillId="15" borderId="35" xfId="18" applyFont="1" applyFill="1" applyBorder="1" applyAlignment="1">
      <alignment horizontal="center" vertical="top" wrapText="1" readingOrder="1"/>
    </xf>
    <xf numFmtId="0" fontId="95" fillId="15" borderId="22" xfId="18" applyFont="1" applyFill="1" applyBorder="1" applyAlignment="1">
      <alignment horizontal="center" vertical="top" wrapText="1" readingOrder="1"/>
    </xf>
    <xf numFmtId="0" fontId="95" fillId="15" borderId="24" xfId="18" applyFont="1" applyFill="1" applyBorder="1" applyAlignment="1">
      <alignment horizontal="center" vertical="top" wrapText="1" readingOrder="1"/>
    </xf>
    <xf numFmtId="0" fontId="95" fillId="15" borderId="25" xfId="18" applyFont="1" applyFill="1" applyBorder="1" applyAlignment="1">
      <alignment horizontal="center" vertical="top" wrapText="1" readingOrder="1"/>
    </xf>
    <xf numFmtId="0" fontId="95" fillId="15" borderId="26" xfId="18" applyFont="1" applyFill="1" applyBorder="1" applyAlignment="1">
      <alignment horizontal="center" vertical="top" wrapText="1" readingOrder="1"/>
    </xf>
    <xf numFmtId="0" fontId="95" fillId="15" borderId="28" xfId="18" applyFont="1" applyFill="1" applyBorder="1" applyAlignment="1">
      <alignment horizontal="center" vertical="top" wrapText="1" readingOrder="1"/>
    </xf>
    <xf numFmtId="0" fontId="95" fillId="15" borderId="30" xfId="18" applyFont="1" applyFill="1" applyBorder="1" applyAlignment="1">
      <alignment horizontal="center" vertical="top" wrapText="1" readingOrder="1"/>
    </xf>
    <xf numFmtId="0" fontId="84" fillId="15" borderId="22" xfId="18" applyFont="1" applyFill="1" applyBorder="1" applyAlignment="1">
      <alignment horizontal="center" vertical="top" wrapText="1" readingOrder="1"/>
    </xf>
    <xf numFmtId="0" fontId="84" fillId="15" borderId="24" xfId="18" applyFont="1" applyFill="1" applyBorder="1" applyAlignment="1">
      <alignment horizontal="center" vertical="top" wrapText="1" readingOrder="1"/>
    </xf>
    <xf numFmtId="0" fontId="84" fillId="15" borderId="25" xfId="18" applyFont="1" applyFill="1" applyBorder="1" applyAlignment="1">
      <alignment horizontal="center" vertical="top" wrapText="1" readingOrder="1"/>
    </xf>
    <xf numFmtId="0" fontId="84" fillId="15" borderId="26" xfId="18" applyFont="1" applyFill="1" applyBorder="1" applyAlignment="1">
      <alignment horizontal="center" vertical="top" wrapText="1" readingOrder="1"/>
    </xf>
    <xf numFmtId="0" fontId="84" fillId="15" borderId="28" xfId="18" applyFont="1" applyFill="1" applyBorder="1" applyAlignment="1">
      <alignment horizontal="center" vertical="top" wrapText="1" readingOrder="1"/>
    </xf>
    <xf numFmtId="0" fontId="84" fillId="15" borderId="30" xfId="18" applyFont="1" applyFill="1" applyBorder="1" applyAlignment="1">
      <alignment horizontal="center" vertical="top" wrapText="1" readingOrder="1"/>
    </xf>
    <xf numFmtId="0" fontId="25" fillId="13" borderId="32" xfId="12" applyFont="1" applyFill="1" applyBorder="1" applyAlignment="1">
      <alignment horizontal="center" vertical="center"/>
    </xf>
    <xf numFmtId="0" fontId="25" fillId="13" borderId="39" xfId="12" applyFont="1" applyFill="1" applyBorder="1" applyAlignment="1">
      <alignment horizontal="center" vertical="center"/>
    </xf>
    <xf numFmtId="0" fontId="25" fillId="13" borderId="23" xfId="12" applyFont="1" applyFill="1" applyBorder="1" applyAlignment="1">
      <alignment horizontal="center" vertical="center"/>
    </xf>
    <xf numFmtId="0" fontId="25" fillId="13" borderId="33" xfId="12" applyFont="1" applyFill="1" applyBorder="1" applyAlignment="1">
      <alignment horizontal="center" vertical="center"/>
    </xf>
    <xf numFmtId="0" fontId="81" fillId="13" borderId="19" xfId="12" applyFont="1" applyFill="1" applyBorder="1" applyAlignment="1">
      <alignment horizontal="center"/>
    </xf>
    <xf numFmtId="0" fontId="81" fillId="13" borderId="20" xfId="12" applyFont="1" applyFill="1" applyBorder="1" applyAlignment="1">
      <alignment horizontal="center"/>
    </xf>
    <xf numFmtId="9" fontId="73" fillId="13" borderId="0" xfId="12" applyNumberFormat="1" applyFont="1" applyFill="1" applyAlignment="1">
      <alignment horizontal="left" vertical="center" indent="7"/>
    </xf>
    <xf numFmtId="9" fontId="73" fillId="13" borderId="40" xfId="12" applyNumberFormat="1" applyFont="1" applyFill="1" applyBorder="1" applyAlignment="1">
      <alignment horizontal="left" vertical="center" indent="7"/>
    </xf>
    <xf numFmtId="9" fontId="73" fillId="13" borderId="0" xfId="12" applyNumberFormat="1" applyFont="1" applyFill="1" applyAlignment="1">
      <alignment horizontal="left" vertical="center" indent="1"/>
    </xf>
    <xf numFmtId="9" fontId="73" fillId="13" borderId="21" xfId="12" applyNumberFormat="1" applyFont="1" applyFill="1" applyBorder="1" applyAlignment="1">
      <alignment horizontal="left" vertical="center" indent="1"/>
    </xf>
    <xf numFmtId="9" fontId="81" fillId="13" borderId="0" xfId="12" applyNumberFormat="1" applyFont="1" applyFill="1" applyAlignment="1">
      <alignment horizontal="left" vertical="center" indent="2"/>
    </xf>
    <xf numFmtId="9" fontId="81" fillId="13" borderId="21" xfId="12" applyNumberFormat="1" applyFont="1" applyFill="1" applyBorder="1" applyAlignment="1">
      <alignment horizontal="left" vertical="center" indent="2"/>
    </xf>
    <xf numFmtId="232" fontId="95" fillId="15" borderId="32" xfId="18" applyNumberFormat="1" applyFont="1" applyFill="1" applyBorder="1" applyAlignment="1">
      <alignment horizontal="center" vertical="center" wrapText="1" readingOrder="1"/>
    </xf>
    <xf numFmtId="232" fontId="95" fillId="15" borderId="33" xfId="18" applyNumberFormat="1" applyFont="1" applyFill="1" applyBorder="1" applyAlignment="1">
      <alignment horizontal="center" vertical="center" wrapText="1" readingOrder="1"/>
    </xf>
    <xf numFmtId="164" fontId="85" fillId="7" borderId="32" xfId="14" applyNumberFormat="1" applyFont="1" applyBorder="1" applyAlignment="1">
      <alignment horizontal="center" vertical="center"/>
    </xf>
    <xf numFmtId="164" fontId="85" fillId="7" borderId="33" xfId="14" applyNumberFormat="1" applyFont="1" applyBorder="1" applyAlignment="1">
      <alignment horizontal="center" vertical="center"/>
    </xf>
    <xf numFmtId="0" fontId="25" fillId="0" borderId="2" xfId="0" applyFont="1" applyBorder="1" applyAlignment="1">
      <alignment horizontal="center" vertical="center" textRotation="90" wrapText="1"/>
    </xf>
    <xf numFmtId="0" fontId="25" fillId="0" borderId="18" xfId="0" applyFont="1" applyBorder="1" applyAlignment="1">
      <alignment horizontal="center" vertical="center" textRotation="90" wrapText="1"/>
    </xf>
    <xf numFmtId="0" fontId="22" fillId="0" borderId="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18" xfId="0" applyBorder="1" applyAlignment="1">
      <alignment horizontal="left" vertical="top" wrapText="1"/>
    </xf>
    <xf numFmtId="0" fontId="25" fillId="4" borderId="21" xfId="0" applyFont="1" applyFill="1" applyBorder="1" applyAlignment="1">
      <alignment horizontal="left" vertical="center" wrapText="1" indent="1"/>
    </xf>
    <xf numFmtId="0" fontId="25" fillId="4" borderId="21" xfId="0" applyFont="1" applyFill="1" applyBorder="1" applyAlignment="1">
      <alignment horizontal="center" vertical="center" wrapText="1"/>
    </xf>
    <xf numFmtId="0" fontId="25" fillId="0" borderId="1" xfId="0" applyFont="1" applyBorder="1" applyAlignment="1">
      <alignment horizontal="center" vertical="center" textRotation="90" wrapText="1"/>
    </xf>
    <xf numFmtId="0" fontId="0" fillId="0" borderId="17" xfId="0" applyBorder="1" applyAlignment="1">
      <alignment horizontal="left" vertical="top" wrapText="1"/>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32" fillId="4" borderId="8" xfId="0" applyFont="1" applyFill="1" applyBorder="1" applyAlignment="1">
      <alignment horizontal="left" vertical="center" wrapText="1"/>
    </xf>
    <xf numFmtId="0" fontId="22" fillId="0" borderId="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5" fillId="8" borderId="2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5" fillId="4" borderId="21" xfId="0" applyFont="1" applyFill="1" applyBorder="1" applyAlignment="1">
      <alignment horizontal="left" vertical="center"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xf>
    <xf numFmtId="0" fontId="0" fillId="0" borderId="1" xfId="0" applyBorder="1" applyAlignment="1">
      <alignment horizontal="center" vertical="center" wrapText="1"/>
    </xf>
    <xf numFmtId="0" fontId="0" fillId="0" borderId="2" xfId="0" applyFill="1" applyBorder="1" applyAlignment="1">
      <alignment horizontal="left" vertical="top" wrapText="1"/>
    </xf>
    <xf numFmtId="0" fontId="0" fillId="0" borderId="18" xfId="0" applyFill="1" applyBorder="1" applyAlignment="1">
      <alignment horizontal="left" vertical="top" wrapText="1"/>
    </xf>
    <xf numFmtId="0" fontId="0" fillId="0" borderId="17" xfId="0" applyFill="1" applyBorder="1" applyAlignment="1">
      <alignment horizontal="left" vertical="top" wrapText="1"/>
    </xf>
    <xf numFmtId="0" fontId="25" fillId="8" borderId="1" xfId="0" applyFont="1" applyFill="1" applyBorder="1" applyAlignment="1">
      <alignment horizontal="left" vertical="center" wrapText="1"/>
    </xf>
    <xf numFmtId="0" fontId="25" fillId="4" borderId="6" xfId="0" applyFont="1" applyFill="1" applyBorder="1" applyAlignment="1">
      <alignment horizontal="left" vertical="center" wrapText="1"/>
    </xf>
    <xf numFmtId="0" fontId="25" fillId="4" borderId="7" xfId="0" applyFont="1" applyFill="1" applyBorder="1" applyAlignment="1">
      <alignment horizontal="left" vertical="center" wrapText="1"/>
    </xf>
    <xf numFmtId="0" fontId="25" fillId="4" borderId="8" xfId="0" applyFont="1" applyFill="1" applyBorder="1" applyAlignment="1">
      <alignment horizontal="left" vertical="center" wrapText="1"/>
    </xf>
    <xf numFmtId="0" fontId="25" fillId="8" borderId="6" xfId="0" applyFont="1" applyFill="1" applyBorder="1" applyAlignment="1">
      <alignment horizontal="left" vertical="center" wrapText="1"/>
    </xf>
    <xf numFmtId="0" fontId="25" fillId="8" borderId="7" xfId="0" applyFont="1" applyFill="1" applyBorder="1" applyAlignment="1">
      <alignment horizontal="left" vertical="center" wrapText="1"/>
    </xf>
    <xf numFmtId="0" fontId="25" fillId="8" borderId="8" xfId="0" applyFont="1" applyFill="1" applyBorder="1" applyAlignment="1">
      <alignment horizontal="left" vertical="center" wrapText="1"/>
    </xf>
    <xf numFmtId="0" fontId="22" fillId="4" borderId="20" xfId="0" applyFont="1" applyFill="1" applyBorder="1" applyAlignment="1">
      <alignment horizontal="center" vertical="center" textRotation="90" wrapText="1"/>
    </xf>
    <xf numFmtId="0" fontId="0" fillId="0" borderId="9" xfId="0" applyBorder="1" applyAlignment="1">
      <alignment horizontal="center" vertical="center" wrapText="1"/>
    </xf>
    <xf numFmtId="0" fontId="0" fillId="0" borderId="10" xfId="0" applyBorder="1" applyAlignment="1">
      <alignment horizontal="left" vertical="center" wrapText="1"/>
    </xf>
    <xf numFmtId="0" fontId="0" fillId="0" borderId="17" xfId="0" applyBorder="1" applyAlignment="1">
      <alignment horizontal="left" vertical="center" wrapText="1"/>
    </xf>
    <xf numFmtId="0" fontId="0" fillId="0" borderId="17" xfId="0" applyBorder="1" applyAlignment="1">
      <alignment horizontal="center" vertical="center" wrapText="1"/>
    </xf>
    <xf numFmtId="0" fontId="22" fillId="4" borderId="1" xfId="0" applyFont="1" applyFill="1" applyBorder="1" applyAlignment="1">
      <alignment horizontal="center" vertical="center" textRotation="90" wrapText="1"/>
    </xf>
    <xf numFmtId="0" fontId="0" fillId="0" borderId="1" xfId="0" applyBorder="1" applyAlignment="1">
      <alignment horizontal="left" vertical="center" wrapText="1"/>
    </xf>
    <xf numFmtId="0" fontId="22" fillId="0" borderId="2" xfId="0" applyFont="1" applyBorder="1" applyAlignment="1">
      <alignment horizontal="left" vertical="center" wrapText="1"/>
    </xf>
    <xf numFmtId="0" fontId="22" fillId="0" borderId="17" xfId="0" applyFont="1" applyBorder="1" applyAlignment="1">
      <alignment horizontal="left" vertical="center" wrapText="1"/>
    </xf>
    <xf numFmtId="0" fontId="22" fillId="0" borderId="1"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34" fillId="0" borderId="1" xfId="0" applyFont="1" applyBorder="1" applyAlignment="1">
      <alignment horizontal="center" vertical="center"/>
    </xf>
    <xf numFmtId="0" fontId="34" fillId="0" borderId="1" xfId="0" applyFont="1" applyBorder="1" applyAlignment="1">
      <alignment horizontal="center" vertical="center" wrapText="1"/>
    </xf>
    <xf numFmtId="182" fontId="0" fillId="0" borderId="1" xfId="0" applyNumberFormat="1" applyBorder="1" applyAlignment="1">
      <alignment horizontal="center" vertical="center"/>
    </xf>
    <xf numFmtId="182" fontId="0" fillId="0" borderId="2" xfId="0" applyNumberFormat="1" applyBorder="1" applyAlignment="1">
      <alignment horizontal="center" vertical="center"/>
    </xf>
    <xf numFmtId="182" fontId="0" fillId="0" borderId="18" xfId="0" applyNumberFormat="1" applyBorder="1" applyAlignment="1">
      <alignment horizontal="center" vertical="center"/>
    </xf>
    <xf numFmtId="182" fontId="0" fillId="0" borderId="17" xfId="0" applyNumberFormat="1" applyBorder="1" applyAlignment="1">
      <alignment horizontal="center" vertical="center"/>
    </xf>
  </cellXfs>
  <cellStyles count="20">
    <cellStyle name="Ausgabe" xfId="8" builtinId="21"/>
    <cellStyle name="Berechnung" xfId="1" builtinId="22" customBuiltin="1"/>
    <cellStyle name="Berechnung 2" xfId="14" xr:uid="{00000000-0005-0000-0000-000002000000}"/>
    <cellStyle name="Eingabe" xfId="2" builtinId="20"/>
    <cellStyle name="Eingabe 2" xfId="13" xr:uid="{00000000-0005-0000-0000-000004000000}"/>
    <cellStyle name="Eingabe 2 2" xfId="15" xr:uid="{00000000-0005-0000-0000-000005000000}"/>
    <cellStyle name="Gut" xfId="3" builtinId="26" customBuiltin="1"/>
    <cellStyle name="Link" xfId="7" builtinId="8"/>
    <cellStyle name="Schlecht" xfId="10" builtinId="27"/>
    <cellStyle name="Standard" xfId="0" builtinId="0"/>
    <cellStyle name="Standard 2" xfId="4" xr:uid="{00000000-0005-0000-0000-00000B000000}"/>
    <cellStyle name="Standard 3" xfId="5" xr:uid="{00000000-0005-0000-0000-00000C000000}"/>
    <cellStyle name="Standard 3 2" xfId="9" xr:uid="{00000000-0005-0000-0000-00000D000000}"/>
    <cellStyle name="Standard 3 3" xfId="12" xr:uid="{00000000-0005-0000-0000-00000E000000}"/>
    <cellStyle name="Standard 4" xfId="11" xr:uid="{00000000-0005-0000-0000-00000F000000}"/>
    <cellStyle name="Standard 4 2" xfId="17" xr:uid="{00000000-0005-0000-0000-000010000000}"/>
    <cellStyle name="Standard 4 3" xfId="19" xr:uid="{8F12AB17-5B4E-4945-A191-983A1BA95BEC}"/>
    <cellStyle name="Standard 5" xfId="16" xr:uid="{00000000-0005-0000-0000-000011000000}"/>
    <cellStyle name="Standard 6" xfId="18" xr:uid="{D3E2D718-0F00-4B4B-B4DC-9DB5594D8D47}"/>
    <cellStyle name="Verknüpfte Zelle" xfId="6" builtinId="24"/>
  </cellStyles>
  <dxfs count="2">
    <dxf>
      <fill>
        <patternFill>
          <bgColor rgb="FF66FF99"/>
        </patternFill>
      </fill>
    </dxf>
    <dxf>
      <fill>
        <patternFill>
          <bgColor rgb="FF66FF99"/>
        </patternFill>
      </fill>
    </dxf>
  </dxfs>
  <tableStyles count="0" defaultTableStyle="TableStyleMedium9" defaultPivotStyle="PivotStyleLight16"/>
  <colors>
    <mruColors>
      <color rgb="FF66FFFF"/>
      <color rgb="FFD5FFD5"/>
      <color rgb="FFFFABAB"/>
      <color rgb="FFFFCC99"/>
      <color rgb="FFFFFF00"/>
      <color rgb="FFCCFFCC"/>
      <color rgb="FFFFFFCC"/>
      <color rgb="FFFF5050"/>
      <color rgb="FF99FF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0.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drawing14.xml.rels><?xml version="1.0" encoding="UTF-8" standalone="yes"?>
<Relationships xmlns="http://schemas.openxmlformats.org/package/2006/relationships"><Relationship Id="rId3" Type="http://schemas.openxmlformats.org/officeDocument/2006/relationships/image" Target="../media/image35.emf"/><Relationship Id="rId7" Type="http://schemas.openxmlformats.org/officeDocument/2006/relationships/image" Target="../media/image39.emf"/><Relationship Id="rId2" Type="http://schemas.openxmlformats.org/officeDocument/2006/relationships/image" Target="../media/image34.emf"/><Relationship Id="rId1" Type="http://schemas.openxmlformats.org/officeDocument/2006/relationships/image" Target="../media/image33.emf"/><Relationship Id="rId6" Type="http://schemas.openxmlformats.org/officeDocument/2006/relationships/image" Target="../media/image38.emf"/><Relationship Id="rId5" Type="http://schemas.openxmlformats.org/officeDocument/2006/relationships/image" Target="../media/image37.emf"/><Relationship Id="rId4" Type="http://schemas.openxmlformats.org/officeDocument/2006/relationships/image" Target="../media/image36.emf"/></Relationships>
</file>

<file path=xl/drawings/_rels/drawing15.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6" Type="http://schemas.openxmlformats.org/officeDocument/2006/relationships/image" Target="../media/image39.emf"/><Relationship Id="rId5" Type="http://schemas.openxmlformats.org/officeDocument/2006/relationships/image" Target="../media/image38.emf"/><Relationship Id="rId4" Type="http://schemas.openxmlformats.org/officeDocument/2006/relationships/image" Target="../media/image37.emf"/></Relationships>
</file>

<file path=xl/drawings/_rels/drawing16.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png"/><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4" Type="http://schemas.openxmlformats.org/officeDocument/2006/relationships/image" Target="../media/image43.emf"/></Relationships>
</file>

<file path=xl/drawings/_rels/drawing17.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png"/><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4" Type="http://schemas.openxmlformats.org/officeDocument/2006/relationships/image" Target="../media/image4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48.emf"/><Relationship Id="rId7" Type="http://schemas.openxmlformats.org/officeDocument/2006/relationships/image" Target="../media/image52.png"/><Relationship Id="rId2" Type="http://schemas.openxmlformats.org/officeDocument/2006/relationships/image" Target="../media/image47.emf"/><Relationship Id="rId1" Type="http://schemas.openxmlformats.org/officeDocument/2006/relationships/image" Target="../media/image46.emf"/><Relationship Id="rId6" Type="http://schemas.openxmlformats.org/officeDocument/2006/relationships/image" Target="../media/image51.emf"/><Relationship Id="rId5" Type="http://schemas.openxmlformats.org/officeDocument/2006/relationships/image" Target="../media/image50.emf"/><Relationship Id="rId4" Type="http://schemas.openxmlformats.org/officeDocument/2006/relationships/image" Target="../media/image49.emf"/></Relationships>
</file>

<file path=xl/drawings/_rels/drawing19.xml.rels><?xml version="1.0" encoding="UTF-8" standalone="yes"?>
<Relationships xmlns="http://schemas.openxmlformats.org/package/2006/relationships"><Relationship Id="rId3" Type="http://schemas.openxmlformats.org/officeDocument/2006/relationships/image" Target="../media/image48.emf"/><Relationship Id="rId7" Type="http://schemas.openxmlformats.org/officeDocument/2006/relationships/image" Target="../media/image52.png"/><Relationship Id="rId2" Type="http://schemas.openxmlformats.org/officeDocument/2006/relationships/image" Target="../media/image47.emf"/><Relationship Id="rId1" Type="http://schemas.openxmlformats.org/officeDocument/2006/relationships/image" Target="../media/image46.emf"/><Relationship Id="rId6" Type="http://schemas.openxmlformats.org/officeDocument/2006/relationships/image" Target="../media/image51.emf"/><Relationship Id="rId5" Type="http://schemas.openxmlformats.org/officeDocument/2006/relationships/image" Target="../media/image50.emf"/><Relationship Id="rId4" Type="http://schemas.openxmlformats.org/officeDocument/2006/relationships/image" Target="../media/image49.em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5" Type="http://schemas.openxmlformats.org/officeDocument/2006/relationships/image" Target="../media/image57.emf"/><Relationship Id="rId4" Type="http://schemas.openxmlformats.org/officeDocument/2006/relationships/image" Target="../media/image56.emf"/></Relationships>
</file>

<file path=xl/drawings/_rels/drawing21.x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5" Type="http://schemas.openxmlformats.org/officeDocument/2006/relationships/image" Target="../media/image57.emf"/><Relationship Id="rId4" Type="http://schemas.openxmlformats.org/officeDocument/2006/relationships/image" Target="../media/image56.emf"/></Relationships>
</file>

<file path=xl/drawings/_rels/drawing22.xml.rels><?xml version="1.0" encoding="UTF-8" standalone="yes"?>
<Relationships xmlns="http://schemas.openxmlformats.org/package/2006/relationships"><Relationship Id="rId8" Type="http://schemas.openxmlformats.org/officeDocument/2006/relationships/image" Target="../media/image65.emf"/><Relationship Id="rId3" Type="http://schemas.openxmlformats.org/officeDocument/2006/relationships/image" Target="../media/image60.emf"/><Relationship Id="rId7" Type="http://schemas.openxmlformats.org/officeDocument/2006/relationships/image" Target="../media/image64.emf"/><Relationship Id="rId2" Type="http://schemas.openxmlformats.org/officeDocument/2006/relationships/image" Target="../media/image59.emf"/><Relationship Id="rId1" Type="http://schemas.openxmlformats.org/officeDocument/2006/relationships/image" Target="../media/image58.emf"/><Relationship Id="rId6" Type="http://schemas.openxmlformats.org/officeDocument/2006/relationships/image" Target="../media/image63.png"/><Relationship Id="rId5" Type="http://schemas.openxmlformats.org/officeDocument/2006/relationships/image" Target="../media/image62.emf"/><Relationship Id="rId4" Type="http://schemas.openxmlformats.org/officeDocument/2006/relationships/image" Target="../media/image61.emf"/></Relationships>
</file>

<file path=xl/drawings/_rels/drawing23.xml.rels><?xml version="1.0" encoding="UTF-8" standalone="yes"?>
<Relationships xmlns="http://schemas.openxmlformats.org/package/2006/relationships"><Relationship Id="rId8" Type="http://schemas.openxmlformats.org/officeDocument/2006/relationships/image" Target="../media/image65.emf"/><Relationship Id="rId3" Type="http://schemas.openxmlformats.org/officeDocument/2006/relationships/image" Target="../media/image60.emf"/><Relationship Id="rId7" Type="http://schemas.openxmlformats.org/officeDocument/2006/relationships/image" Target="../media/image64.emf"/><Relationship Id="rId2" Type="http://schemas.openxmlformats.org/officeDocument/2006/relationships/image" Target="../media/image59.emf"/><Relationship Id="rId1" Type="http://schemas.openxmlformats.org/officeDocument/2006/relationships/image" Target="../media/image58.emf"/><Relationship Id="rId6" Type="http://schemas.openxmlformats.org/officeDocument/2006/relationships/image" Target="../media/image63.png"/><Relationship Id="rId5" Type="http://schemas.openxmlformats.org/officeDocument/2006/relationships/image" Target="../media/image62.emf"/><Relationship Id="rId4" Type="http://schemas.openxmlformats.org/officeDocument/2006/relationships/image" Target="../media/image61.emf"/></Relationships>
</file>

<file path=xl/drawings/_rels/drawing24.x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emf"/></Relationships>
</file>

<file path=xl/drawings/_rels/drawing25.x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emf"/></Relationships>
</file>

<file path=xl/drawings/_rels/drawing26.xml.rels><?xml version="1.0" encoding="UTF-8" standalone="yes"?>
<Relationships xmlns="http://schemas.openxmlformats.org/package/2006/relationships"><Relationship Id="rId8" Type="http://schemas.openxmlformats.org/officeDocument/2006/relationships/image" Target="../media/image75.emf"/><Relationship Id="rId13" Type="http://schemas.openxmlformats.org/officeDocument/2006/relationships/image" Target="../media/image80.emf"/><Relationship Id="rId3" Type="http://schemas.openxmlformats.org/officeDocument/2006/relationships/image" Target="../media/image70.emf"/><Relationship Id="rId7" Type="http://schemas.openxmlformats.org/officeDocument/2006/relationships/image" Target="../media/image74.emf"/><Relationship Id="rId12" Type="http://schemas.openxmlformats.org/officeDocument/2006/relationships/image" Target="../media/image79.emf"/><Relationship Id="rId2" Type="http://schemas.openxmlformats.org/officeDocument/2006/relationships/image" Target="../media/image69.emf"/><Relationship Id="rId1" Type="http://schemas.openxmlformats.org/officeDocument/2006/relationships/image" Target="../media/image68.emf"/><Relationship Id="rId6" Type="http://schemas.openxmlformats.org/officeDocument/2006/relationships/image" Target="../media/image73.emf"/><Relationship Id="rId11" Type="http://schemas.openxmlformats.org/officeDocument/2006/relationships/image" Target="../media/image78.emf"/><Relationship Id="rId5" Type="http://schemas.openxmlformats.org/officeDocument/2006/relationships/image" Target="../media/image72.emf"/><Relationship Id="rId10" Type="http://schemas.openxmlformats.org/officeDocument/2006/relationships/image" Target="../media/image77.emf"/><Relationship Id="rId4" Type="http://schemas.openxmlformats.org/officeDocument/2006/relationships/image" Target="../media/image71.emf"/><Relationship Id="rId9" Type="http://schemas.openxmlformats.org/officeDocument/2006/relationships/image" Target="../media/image76.emf"/></Relationships>
</file>

<file path=xl/drawings/_rels/drawing27.xml.rels><?xml version="1.0" encoding="UTF-8" standalone="yes"?>
<Relationships xmlns="http://schemas.openxmlformats.org/package/2006/relationships"><Relationship Id="rId8" Type="http://schemas.openxmlformats.org/officeDocument/2006/relationships/image" Target="../media/image75.emf"/><Relationship Id="rId13" Type="http://schemas.openxmlformats.org/officeDocument/2006/relationships/image" Target="../media/image80.emf"/><Relationship Id="rId3" Type="http://schemas.openxmlformats.org/officeDocument/2006/relationships/image" Target="../media/image70.emf"/><Relationship Id="rId7" Type="http://schemas.openxmlformats.org/officeDocument/2006/relationships/image" Target="../media/image74.emf"/><Relationship Id="rId12" Type="http://schemas.openxmlformats.org/officeDocument/2006/relationships/image" Target="../media/image79.emf"/><Relationship Id="rId2" Type="http://schemas.openxmlformats.org/officeDocument/2006/relationships/image" Target="../media/image69.emf"/><Relationship Id="rId1" Type="http://schemas.openxmlformats.org/officeDocument/2006/relationships/image" Target="../media/image68.emf"/><Relationship Id="rId6" Type="http://schemas.openxmlformats.org/officeDocument/2006/relationships/image" Target="../media/image73.emf"/><Relationship Id="rId11" Type="http://schemas.openxmlformats.org/officeDocument/2006/relationships/image" Target="../media/image78.emf"/><Relationship Id="rId5" Type="http://schemas.openxmlformats.org/officeDocument/2006/relationships/image" Target="../media/image72.emf"/><Relationship Id="rId15" Type="http://schemas.openxmlformats.org/officeDocument/2006/relationships/image" Target="../media/image82.png"/><Relationship Id="rId10" Type="http://schemas.openxmlformats.org/officeDocument/2006/relationships/image" Target="../media/image77.emf"/><Relationship Id="rId4" Type="http://schemas.openxmlformats.org/officeDocument/2006/relationships/image" Target="../media/image71.emf"/><Relationship Id="rId9" Type="http://schemas.openxmlformats.org/officeDocument/2006/relationships/image" Target="../media/image76.emf"/><Relationship Id="rId14" Type="http://schemas.openxmlformats.org/officeDocument/2006/relationships/image" Target="../media/image8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3.emf"/></Relationships>
</file>

<file path=xl/drawings/_rels/drawing29.xml.rels><?xml version="1.0" encoding="UTF-8" standalone="yes"?>
<Relationships xmlns="http://schemas.openxmlformats.org/package/2006/relationships"><Relationship Id="rId1" Type="http://schemas.openxmlformats.org/officeDocument/2006/relationships/image" Target="../media/image8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drawing30.x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84.emf"/></Relationships>
</file>

<file path=xl/drawings/_rels/drawing31.x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84.emf"/></Relationships>
</file>

<file path=xl/drawings/_rels/drawing32.xml.rels><?xml version="1.0" encoding="UTF-8" standalone="yes"?>
<Relationships xmlns="http://schemas.openxmlformats.org/package/2006/relationships"><Relationship Id="rId3" Type="http://schemas.openxmlformats.org/officeDocument/2006/relationships/image" Target="../media/image88.emf"/><Relationship Id="rId2" Type="http://schemas.openxmlformats.org/officeDocument/2006/relationships/image" Target="../media/image87.emf"/><Relationship Id="rId1" Type="http://schemas.openxmlformats.org/officeDocument/2006/relationships/image" Target="../media/image86.emf"/><Relationship Id="rId5" Type="http://schemas.openxmlformats.org/officeDocument/2006/relationships/image" Target="../media/image90.emf"/><Relationship Id="rId4" Type="http://schemas.openxmlformats.org/officeDocument/2006/relationships/image" Target="../media/image89.emf"/></Relationships>
</file>

<file path=xl/drawings/_rels/drawing33.xml.rels><?xml version="1.0" encoding="UTF-8" standalone="yes"?>
<Relationships xmlns="http://schemas.openxmlformats.org/package/2006/relationships"><Relationship Id="rId3" Type="http://schemas.openxmlformats.org/officeDocument/2006/relationships/image" Target="../media/image88.emf"/><Relationship Id="rId2" Type="http://schemas.openxmlformats.org/officeDocument/2006/relationships/image" Target="../media/image87.emf"/><Relationship Id="rId1" Type="http://schemas.openxmlformats.org/officeDocument/2006/relationships/image" Target="../media/image86.emf"/><Relationship Id="rId6" Type="http://schemas.openxmlformats.org/officeDocument/2006/relationships/image" Target="../media/image91.png"/><Relationship Id="rId5" Type="http://schemas.openxmlformats.org/officeDocument/2006/relationships/image" Target="../media/image90.emf"/><Relationship Id="rId4" Type="http://schemas.openxmlformats.org/officeDocument/2006/relationships/image" Target="../media/image89.emf"/></Relationships>
</file>

<file path=xl/drawings/_rels/drawing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7.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image" Target="../media/image23.emf"/><Relationship Id="rId7" Type="http://schemas.openxmlformats.org/officeDocument/2006/relationships/image" Target="../media/image27.emf"/><Relationship Id="rId2" Type="http://schemas.openxmlformats.org/officeDocument/2006/relationships/image" Target="../media/image22.emf"/><Relationship Id="rId1" Type="http://schemas.openxmlformats.org/officeDocument/2006/relationships/image" Target="../media/image21.emf"/><Relationship Id="rId6" Type="http://schemas.openxmlformats.org/officeDocument/2006/relationships/image" Target="../media/image26.emf"/><Relationship Id="rId5" Type="http://schemas.openxmlformats.org/officeDocument/2006/relationships/image" Target="../media/image25.emf"/><Relationship Id="rId4"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4.emf"/><Relationship Id="rId1" Type="http://schemas.openxmlformats.org/officeDocument/2006/relationships/image" Target="../media/image23.emf"/><Relationship Id="rId6" Type="http://schemas.openxmlformats.org/officeDocument/2006/relationships/image" Target="../media/image29.emf"/><Relationship Id="rId5" Type="http://schemas.openxmlformats.org/officeDocument/2006/relationships/image" Target="../media/image27.emf"/><Relationship Id="rId4"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1</xdr:row>
      <xdr:rowOff>76200</xdr:rowOff>
    </xdr:from>
    <xdr:to>
      <xdr:col>2</xdr:col>
      <xdr:colOff>587548</xdr:colOff>
      <xdr:row>1</xdr:row>
      <xdr:rowOff>4321560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824"/>
        <a:stretch/>
      </xdr:blipFill>
      <xdr:spPr bwMode="auto">
        <a:xfrm>
          <a:off x="76201" y="276225"/>
          <a:ext cx="3502197" cy="4245360"/>
        </a:xfrm>
        <a:prstGeom prst="rect">
          <a:avLst/>
        </a:prstGeom>
        <a:noFill/>
        <a:effectLst>
          <a:glow rad="63500">
            <a:schemeClr val="accent1">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636648</xdr:colOff>
      <xdr:row>1</xdr:row>
      <xdr:rowOff>76200</xdr:rowOff>
    </xdr:from>
    <xdr:to>
      <xdr:col>4</xdr:col>
      <xdr:colOff>646226</xdr:colOff>
      <xdr:row>1</xdr:row>
      <xdr:rowOff>4826068</xdr:rowOff>
    </xdr:to>
    <xdr:pic>
      <xdr:nvPicPr>
        <xdr:cNvPr id="3" name="Grafik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7498" y="276225"/>
          <a:ext cx="3762428" cy="4749868"/>
        </a:xfrm>
        <a:prstGeom prst="rect">
          <a:avLst/>
        </a:prstGeom>
        <a:noFill/>
        <a:effectLst>
          <a:glow rad="63500">
            <a:schemeClr val="accent1">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809625</xdr:colOff>
      <xdr:row>1</xdr:row>
      <xdr:rowOff>76200</xdr:rowOff>
    </xdr:from>
    <xdr:to>
      <xdr:col>6</xdr:col>
      <xdr:colOff>616733</xdr:colOff>
      <xdr:row>1</xdr:row>
      <xdr:rowOff>5115400</xdr:rowOff>
    </xdr:to>
    <xdr:pic>
      <xdr:nvPicPr>
        <xdr:cNvPr id="4" name="Grafik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9500" y="276225"/>
          <a:ext cx="3550433" cy="5039200"/>
        </a:xfrm>
        <a:prstGeom prst="rect">
          <a:avLst/>
        </a:prstGeom>
        <a:noFill/>
        <a:effectLst>
          <a:glow rad="63500">
            <a:schemeClr val="accent1">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142876</xdr:colOff>
      <xdr:row>7</xdr:row>
      <xdr:rowOff>85725</xdr:rowOff>
    </xdr:from>
    <xdr:to>
      <xdr:col>2</xdr:col>
      <xdr:colOff>1409701</xdr:colOff>
      <xdr:row>7</xdr:row>
      <xdr:rowOff>714375</xdr:rowOff>
    </xdr:to>
    <mc:AlternateContent xmlns:mc="http://schemas.openxmlformats.org/markup-compatibility/2006" xmlns:a14="http://schemas.microsoft.com/office/drawing/2010/main">
      <mc:Choice Requires="a14">
        <xdr:sp macro="" textlink="">
          <xdr:nvSpPr>
            <xdr:cNvPr id="9" name="Textfeld 8">
              <a:extLst>
                <a:ext uri="{FF2B5EF4-FFF2-40B4-BE49-F238E27FC236}">
                  <a16:creationId xmlns:a16="http://schemas.microsoft.com/office/drawing/2014/main" id="{00000000-0008-0000-0000-000009000000}"/>
                </a:ext>
              </a:extLst>
            </xdr:cNvPr>
            <xdr:cNvSpPr txBox="1"/>
          </xdr:nvSpPr>
          <xdr:spPr>
            <a:xfrm>
              <a:off x="3133726" y="8648700"/>
              <a:ext cx="1266825" cy="6286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r>
                      <a:rPr lang="de-DE" sz="1600" b="0" i="1">
                        <a:solidFill>
                          <a:schemeClr val="tx1"/>
                        </a:solidFill>
                        <a:latin typeface="Cambria Math"/>
                        <a:ea typeface="+mn-ea"/>
                        <a:cs typeface="+mn-cs"/>
                      </a:rPr>
                      <m:t>𝐴</m:t>
                    </m:r>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𝑄</m:t>
                            </m:r>
                          </m:e>
                          <m:sub>
                            <m:r>
                              <a:rPr lang="de-DE" sz="1600" b="0" i="1">
                                <a:solidFill>
                                  <a:schemeClr val="tx1"/>
                                </a:solidFill>
                                <a:latin typeface="Cambria Math"/>
                                <a:ea typeface="+mn-ea"/>
                                <a:cs typeface="+mn-cs"/>
                              </a:rPr>
                              <m:t>𝑡</m:t>
                            </m:r>
                          </m:sub>
                        </m:sSub>
                      </m:num>
                      <m:den>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𝑞</m:t>
                            </m:r>
                          </m:e>
                          <m:sub>
                            <m:r>
                              <a:rPr lang="de-DE" sz="1600" b="0" i="1">
                                <a:solidFill>
                                  <a:schemeClr val="tx1"/>
                                </a:solidFill>
                                <a:latin typeface="Cambria Math"/>
                                <a:ea typeface="+mn-ea"/>
                                <a:cs typeface="+mn-cs"/>
                              </a:rPr>
                              <m:t>𝐴</m:t>
                            </m:r>
                          </m:sub>
                        </m:sSub>
                      </m:den>
                    </m:f>
                  </m:oMath>
                </m:oMathPara>
              </a14:m>
              <a:endParaRPr lang="de-DE" sz="1600" b="0" i="1">
                <a:solidFill>
                  <a:schemeClr val="tx1"/>
                </a:solidFill>
                <a:latin typeface="Cambria Math"/>
                <a:ea typeface="+mn-ea"/>
                <a:cs typeface="+mn-cs"/>
              </a:endParaRPr>
            </a:p>
          </xdr:txBody>
        </xdr:sp>
      </mc:Choice>
      <mc:Fallback xmlns="">
        <xdr:sp macro="" textlink="">
          <xdr:nvSpPr>
            <xdr:cNvPr id="9" name="Textfeld 8"/>
            <xdr:cNvSpPr txBox="1"/>
          </xdr:nvSpPr>
          <xdr:spPr>
            <a:xfrm>
              <a:off x="3133726" y="8648700"/>
              <a:ext cx="1266825" cy="6286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𝐴=  𝑄_𝑡/𝑞_𝐴 </a:t>
              </a:r>
              <a:endParaRPr lang="de-DE" sz="1600" b="0" i="1">
                <a:solidFill>
                  <a:schemeClr val="tx1"/>
                </a:solidFill>
                <a:latin typeface="Cambria Math"/>
                <a:ea typeface="+mn-ea"/>
                <a:cs typeface="+mn-cs"/>
              </a:endParaRPr>
            </a:p>
          </xdr:txBody>
        </xdr:sp>
      </mc:Fallback>
    </mc:AlternateContent>
    <xdr:clientData/>
  </xdr:twoCellAnchor>
  <xdr:twoCellAnchor>
    <xdr:from>
      <xdr:col>2</xdr:col>
      <xdr:colOff>142876</xdr:colOff>
      <xdr:row>9</xdr:row>
      <xdr:rowOff>95250</xdr:rowOff>
    </xdr:from>
    <xdr:to>
      <xdr:col>2</xdr:col>
      <xdr:colOff>1409701</xdr:colOff>
      <xdr:row>9</xdr:row>
      <xdr:rowOff>676276</xdr:rowOff>
    </xdr:to>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00000000-0008-0000-0000-00000B000000}"/>
                </a:ext>
              </a:extLst>
            </xdr:cNvPr>
            <xdr:cNvSpPr txBox="1"/>
          </xdr:nvSpPr>
          <xdr:spPr>
            <a:xfrm>
              <a:off x="3133726" y="942022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r>
                      <a:rPr lang="de-DE" sz="1600" b="0" i="1">
                        <a:solidFill>
                          <a:schemeClr val="tx1"/>
                        </a:solidFill>
                        <a:latin typeface="Cambria Math"/>
                        <a:ea typeface="+mn-ea"/>
                        <a:cs typeface="+mn-cs"/>
                      </a:rPr>
                      <m:t>h</m:t>
                    </m:r>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r>
                          <a:rPr lang="de-DE" sz="1600" b="0" i="1">
                            <a:solidFill>
                              <a:schemeClr val="tx1"/>
                            </a:solidFill>
                            <a:latin typeface="Cambria Math"/>
                            <a:ea typeface="+mn-ea"/>
                            <a:cs typeface="+mn-cs"/>
                          </a:rPr>
                          <m:t>𝑉</m:t>
                        </m:r>
                      </m:num>
                      <m:den>
                        <m:r>
                          <a:rPr lang="de-DE" sz="1600" b="0" i="1">
                            <a:solidFill>
                              <a:schemeClr val="tx1"/>
                            </a:solidFill>
                            <a:latin typeface="Cambria Math"/>
                            <a:ea typeface="+mn-ea"/>
                            <a:cs typeface="+mn-cs"/>
                          </a:rPr>
                          <m:t>𝐴</m:t>
                        </m:r>
                      </m:den>
                    </m:f>
                  </m:oMath>
                </m:oMathPara>
              </a14:m>
              <a:endParaRPr lang="de-DE" sz="1600" b="0" i="1">
                <a:solidFill>
                  <a:schemeClr val="tx1"/>
                </a:solidFill>
                <a:latin typeface="Cambria Math"/>
                <a:ea typeface="+mn-ea"/>
                <a:cs typeface="+mn-cs"/>
              </a:endParaRPr>
            </a:p>
          </xdr:txBody>
        </xdr:sp>
      </mc:Choice>
      <mc:Fallback xmlns="">
        <xdr:sp macro="" textlink="">
          <xdr:nvSpPr>
            <xdr:cNvPr id="11" name="Textfeld 10"/>
            <xdr:cNvSpPr txBox="1"/>
          </xdr:nvSpPr>
          <xdr:spPr>
            <a:xfrm>
              <a:off x="3133726" y="942022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ℎ=  𝑉/𝐴</a:t>
              </a:r>
              <a:endParaRPr lang="de-DE" sz="1600" b="0" i="1">
                <a:solidFill>
                  <a:schemeClr val="tx1"/>
                </a:solidFill>
                <a:latin typeface="Cambria Math"/>
                <a:ea typeface="+mn-ea"/>
                <a:cs typeface="+mn-cs"/>
              </a:endParaRPr>
            </a:p>
          </xdr:txBody>
        </xdr:sp>
      </mc:Fallback>
    </mc:AlternateContent>
    <xdr:clientData/>
  </xdr:twoCellAnchor>
  <xdr:twoCellAnchor>
    <xdr:from>
      <xdr:col>2</xdr:col>
      <xdr:colOff>142876</xdr:colOff>
      <xdr:row>13</xdr:row>
      <xdr:rowOff>95250</xdr:rowOff>
    </xdr:from>
    <xdr:to>
      <xdr:col>2</xdr:col>
      <xdr:colOff>1409701</xdr:colOff>
      <xdr:row>13</xdr:row>
      <xdr:rowOff>676276</xdr:rowOff>
    </xdr:to>
    <mc:AlternateContent xmlns:mc="http://schemas.openxmlformats.org/markup-compatibility/2006" xmlns:a14="http://schemas.microsoft.com/office/drawing/2010/main">
      <mc:Choice Requires="a14">
        <xdr:sp macro="" textlink="">
          <xdr:nvSpPr>
            <xdr:cNvPr id="14" name="Textfeld 13">
              <a:extLst>
                <a:ext uri="{FF2B5EF4-FFF2-40B4-BE49-F238E27FC236}">
                  <a16:creationId xmlns:a16="http://schemas.microsoft.com/office/drawing/2014/main" id="{00000000-0008-0000-0000-00000E000000}"/>
                </a:ext>
              </a:extLst>
            </xdr:cNvPr>
            <xdr:cNvSpPr txBox="1"/>
          </xdr:nvSpPr>
          <xdr:spPr>
            <a:xfrm>
              <a:off x="3133726" y="1142047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r>
                      <a:rPr lang="de-DE" sz="1600" b="0" i="1">
                        <a:solidFill>
                          <a:schemeClr val="tx1"/>
                        </a:solidFill>
                        <a:latin typeface="Cambria Math"/>
                        <a:ea typeface="+mn-ea"/>
                        <a:cs typeface="+mn-cs"/>
                      </a:rPr>
                      <m:t>𝑙</m:t>
                    </m:r>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r>
                          <a:rPr lang="de-DE" sz="1600" b="0" i="1">
                            <a:solidFill>
                              <a:schemeClr val="tx1"/>
                            </a:solidFill>
                            <a:latin typeface="Cambria Math"/>
                            <a:ea typeface="+mn-ea"/>
                            <a:cs typeface="+mn-cs"/>
                          </a:rPr>
                          <m:t>𝑉</m:t>
                        </m:r>
                      </m:num>
                      <m:den>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𝐴</m:t>
                            </m:r>
                          </m:e>
                          <m:sub>
                            <m:r>
                              <a:rPr lang="de-DE" sz="1600" b="0" i="1">
                                <a:solidFill>
                                  <a:schemeClr val="tx1"/>
                                </a:solidFill>
                                <a:latin typeface="Cambria Math"/>
                                <a:ea typeface="+mn-ea"/>
                                <a:cs typeface="+mn-cs"/>
                              </a:rPr>
                              <m:t>𝑂</m:t>
                            </m:r>
                          </m:sub>
                        </m:sSub>
                      </m:den>
                    </m:f>
                  </m:oMath>
                </m:oMathPara>
              </a14:m>
              <a:endParaRPr lang="de-DE" sz="1600" b="0" i="1">
                <a:solidFill>
                  <a:schemeClr val="tx1"/>
                </a:solidFill>
                <a:latin typeface="Cambria Math"/>
                <a:ea typeface="+mn-ea"/>
                <a:cs typeface="+mn-cs"/>
              </a:endParaRPr>
            </a:p>
          </xdr:txBody>
        </xdr:sp>
      </mc:Choice>
      <mc:Fallback xmlns="">
        <xdr:sp macro="" textlink="">
          <xdr:nvSpPr>
            <xdr:cNvPr id="14" name="Textfeld 13"/>
            <xdr:cNvSpPr txBox="1"/>
          </xdr:nvSpPr>
          <xdr:spPr>
            <a:xfrm>
              <a:off x="3133726" y="1142047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𝑙=  𝑉/𝐴_𝑂 </a:t>
              </a:r>
              <a:endParaRPr lang="de-DE" sz="1600" b="0" i="1">
                <a:solidFill>
                  <a:schemeClr val="tx1"/>
                </a:solidFill>
                <a:latin typeface="Cambria Math"/>
                <a:ea typeface="+mn-ea"/>
                <a:cs typeface="+mn-cs"/>
              </a:endParaRPr>
            </a:p>
          </xdr:txBody>
        </xdr:sp>
      </mc:Fallback>
    </mc:AlternateContent>
    <xdr:clientData/>
  </xdr:twoCellAnchor>
  <xdr:twoCellAnchor>
    <xdr:from>
      <xdr:col>2</xdr:col>
      <xdr:colOff>142876</xdr:colOff>
      <xdr:row>12</xdr:row>
      <xdr:rowOff>209550</xdr:rowOff>
    </xdr:from>
    <xdr:to>
      <xdr:col>2</xdr:col>
      <xdr:colOff>1409701</xdr:colOff>
      <xdr:row>12</xdr:row>
      <xdr:rowOff>533400</xdr:rowOff>
    </xdr:to>
    <mc:AlternateContent xmlns:mc="http://schemas.openxmlformats.org/markup-compatibility/2006" xmlns:a14="http://schemas.microsoft.com/office/drawing/2010/main">
      <mc:Choice Requires="a14">
        <xdr:sp macro="" textlink="">
          <xdr:nvSpPr>
            <xdr:cNvPr id="15" name="Textfeld 14">
              <a:extLst>
                <a:ext uri="{FF2B5EF4-FFF2-40B4-BE49-F238E27FC236}">
                  <a16:creationId xmlns:a16="http://schemas.microsoft.com/office/drawing/2014/main" id="{00000000-0008-0000-0000-00000F000000}"/>
                </a:ext>
              </a:extLst>
            </xdr:cNvPr>
            <xdr:cNvSpPr txBox="1"/>
          </xdr:nvSpPr>
          <xdr:spPr>
            <a:xfrm>
              <a:off x="3133726" y="10801350"/>
              <a:ext cx="1266825" cy="3238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𝐴</m:t>
                      </m:r>
                    </m:e>
                    <m:sub>
                      <m:r>
                        <a:rPr lang="de-DE" sz="1600" b="0" i="1">
                          <a:solidFill>
                            <a:schemeClr val="tx1"/>
                          </a:solidFill>
                          <a:latin typeface="Cambria Math"/>
                          <a:ea typeface="+mn-ea"/>
                          <a:cs typeface="+mn-cs"/>
                        </a:rPr>
                        <m:t>𝑂</m:t>
                      </m:r>
                    </m:sub>
                  </m:sSub>
                  <m:r>
                    <a:rPr lang="de-DE" sz="1600" b="0" i="1">
                      <a:solidFill>
                        <a:schemeClr val="tx1"/>
                      </a:solidFill>
                      <a:latin typeface="Cambria Math"/>
                      <a:ea typeface="+mn-ea"/>
                      <a:cs typeface="+mn-cs"/>
                    </a:rPr>
                    <m:t>= </m:t>
                  </m:r>
                </m:oMath>
              </a14:m>
              <a:r>
                <a:rPr lang="de-DE" sz="1600" b="0" i="1">
                  <a:solidFill>
                    <a:schemeClr val="tx1"/>
                  </a:solidFill>
                  <a:latin typeface="Cambria Math"/>
                  <a:ea typeface="+mn-ea"/>
                  <a:cs typeface="+mn-cs"/>
                </a:rPr>
                <a:t>h *  b</a:t>
              </a:r>
            </a:p>
          </xdr:txBody>
        </xdr:sp>
      </mc:Choice>
      <mc:Fallback xmlns="">
        <xdr:sp macro="" textlink="">
          <xdr:nvSpPr>
            <xdr:cNvPr id="15" name="Textfeld 14"/>
            <xdr:cNvSpPr txBox="1"/>
          </xdr:nvSpPr>
          <xdr:spPr>
            <a:xfrm>
              <a:off x="3133726" y="10801350"/>
              <a:ext cx="1266825" cy="3238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𝐴_𝑂= </a:t>
              </a:r>
              <a:r>
                <a:rPr lang="de-DE" sz="1600" b="0" i="1">
                  <a:solidFill>
                    <a:schemeClr val="tx1"/>
                  </a:solidFill>
                  <a:latin typeface="Cambria Math"/>
                  <a:ea typeface="+mn-ea"/>
                  <a:cs typeface="+mn-cs"/>
                </a:rPr>
                <a:t>h *  b</a:t>
              </a:r>
            </a:p>
          </xdr:txBody>
        </xdr:sp>
      </mc:Fallback>
    </mc:AlternateContent>
    <xdr:clientData/>
  </xdr:twoCellAnchor>
  <xdr:twoCellAnchor>
    <xdr:from>
      <xdr:col>2</xdr:col>
      <xdr:colOff>142876</xdr:colOff>
      <xdr:row>15</xdr:row>
      <xdr:rowOff>219075</xdr:rowOff>
    </xdr:from>
    <xdr:to>
      <xdr:col>2</xdr:col>
      <xdr:colOff>2486026</xdr:colOff>
      <xdr:row>15</xdr:row>
      <xdr:rowOff>609600</xdr:rowOff>
    </xdr:to>
    <mc:AlternateContent xmlns:mc="http://schemas.openxmlformats.org/markup-compatibility/2006" xmlns:a14="http://schemas.microsoft.com/office/drawing/2010/main">
      <mc:Choice Requires="a14">
        <xdr:sp macro="" textlink="">
          <xdr:nvSpPr>
            <xdr:cNvPr id="16" name="Textfeld 15">
              <a:extLst>
                <a:ext uri="{FF2B5EF4-FFF2-40B4-BE49-F238E27FC236}">
                  <a16:creationId xmlns:a16="http://schemas.microsoft.com/office/drawing/2014/main" id="{00000000-0008-0000-0000-000010000000}"/>
                </a:ext>
              </a:extLst>
            </xdr:cNvPr>
            <xdr:cNvSpPr txBox="1"/>
          </xdr:nvSpPr>
          <xdr:spPr>
            <a:xfrm>
              <a:off x="3133726" y="13954125"/>
              <a:ext cx="2343150" cy="3905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𝑉</m:t>
                        </m:r>
                      </m:e>
                      <m:sub>
                        <m:r>
                          <a:rPr lang="de-DE" sz="1600" b="0" i="1">
                            <a:solidFill>
                              <a:schemeClr val="tx1"/>
                            </a:solidFill>
                            <a:latin typeface="Cambria Math"/>
                            <a:ea typeface="+mn-ea"/>
                            <a:cs typeface="+mn-cs"/>
                          </a:rPr>
                          <m:t>𝑉𝐾𝐵</m:t>
                        </m:r>
                      </m:sub>
                    </m:sSub>
                    <m:r>
                      <a:rPr lang="de-DE" sz="1600" b="0" i="1">
                        <a:solidFill>
                          <a:schemeClr val="tx1"/>
                        </a:solidFill>
                        <a:latin typeface="Cambria Math"/>
                        <a:ea typeface="+mn-ea"/>
                        <a:cs typeface="+mn-cs"/>
                      </a:rPr>
                      <m:t>= </m:t>
                    </m:r>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𝐴</m:t>
                        </m:r>
                      </m:e>
                      <m:sub>
                        <m:r>
                          <a:rPr lang="de-DE" sz="1600" b="0" i="1">
                            <a:solidFill>
                              <a:schemeClr val="tx1"/>
                            </a:solidFill>
                            <a:latin typeface="Cambria Math"/>
                            <a:ea typeface="+mn-ea"/>
                            <a:cs typeface="+mn-cs"/>
                          </a:rPr>
                          <m:t>𝑣𝑜𝑟h</m:t>
                        </m:r>
                        <m:r>
                          <a:rPr lang="de-DE" sz="1600" b="0" i="1">
                            <a:solidFill>
                              <a:schemeClr val="tx1"/>
                            </a:solidFill>
                            <a:latin typeface="Cambria Math"/>
                            <a:ea typeface="+mn-ea"/>
                            <a:cs typeface="+mn-cs"/>
                          </a:rPr>
                          <m:t>.</m:t>
                        </m:r>
                      </m:sub>
                    </m:sSub>
                    <m:r>
                      <a:rPr lang="de-DE" sz="1600" b="0" i="1">
                        <a:solidFill>
                          <a:schemeClr val="tx1"/>
                        </a:solidFill>
                        <a:latin typeface="Cambria Math"/>
                        <a:ea typeface="+mn-ea"/>
                        <a:cs typeface="+mn-cs"/>
                      </a:rPr>
                      <m:t> ∗ </m:t>
                    </m:r>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h</m:t>
                        </m:r>
                      </m:e>
                      <m:sub>
                        <m:r>
                          <a:rPr lang="de-DE" sz="1600" b="0" i="1">
                            <a:solidFill>
                              <a:schemeClr val="tx1"/>
                            </a:solidFill>
                            <a:latin typeface="Cambria Math"/>
                            <a:ea typeface="+mn-ea"/>
                            <a:cs typeface="+mn-cs"/>
                          </a:rPr>
                          <m:t>𝑣𝑜𝑟h</m:t>
                        </m:r>
                        <m:r>
                          <a:rPr lang="de-DE" sz="1600" b="0" i="1">
                            <a:solidFill>
                              <a:schemeClr val="tx1"/>
                            </a:solidFill>
                            <a:latin typeface="Cambria Math"/>
                            <a:ea typeface="+mn-ea"/>
                            <a:cs typeface="+mn-cs"/>
                          </a:rPr>
                          <m:t>.</m:t>
                        </m:r>
                      </m:sub>
                    </m:sSub>
                  </m:oMath>
                </m:oMathPara>
              </a14:m>
              <a:endParaRPr lang="de-DE" sz="1600" b="0" i="1">
                <a:solidFill>
                  <a:schemeClr val="tx1"/>
                </a:solidFill>
                <a:latin typeface="Cambria Math"/>
                <a:ea typeface="+mn-ea"/>
                <a:cs typeface="+mn-cs"/>
              </a:endParaRPr>
            </a:p>
          </xdr:txBody>
        </xdr:sp>
      </mc:Choice>
      <mc:Fallback xmlns="">
        <xdr:sp macro="" textlink="">
          <xdr:nvSpPr>
            <xdr:cNvPr id="16" name="Textfeld 15"/>
            <xdr:cNvSpPr txBox="1"/>
          </xdr:nvSpPr>
          <xdr:spPr>
            <a:xfrm>
              <a:off x="3133726" y="13954125"/>
              <a:ext cx="2343150" cy="3905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𝑉_𝑉𝐾𝐵= 𝐴_(𝑣𝑜𝑟ℎ.)  ∗ ℎ_(𝑣𝑜𝑟ℎ.)</a:t>
              </a:r>
              <a:endParaRPr lang="de-DE" sz="1600" b="0" i="1">
                <a:solidFill>
                  <a:schemeClr val="tx1"/>
                </a:solidFill>
                <a:latin typeface="Cambria Math"/>
                <a:ea typeface="+mn-ea"/>
                <a:cs typeface="+mn-cs"/>
              </a:endParaRPr>
            </a:p>
          </xdr:txBody>
        </xdr:sp>
      </mc:Fallback>
    </mc:AlternateContent>
    <xdr:clientData/>
  </xdr:twoCellAnchor>
  <xdr:twoCellAnchor>
    <xdr:from>
      <xdr:col>6</xdr:col>
      <xdr:colOff>50005</xdr:colOff>
      <xdr:row>2</xdr:row>
      <xdr:rowOff>103345</xdr:rowOff>
    </xdr:from>
    <xdr:to>
      <xdr:col>7</xdr:col>
      <xdr:colOff>676274</xdr:colOff>
      <xdr:row>13</xdr:row>
      <xdr:rowOff>9524</xdr:rowOff>
    </xdr:to>
    <xdr:grpSp>
      <xdr:nvGrpSpPr>
        <xdr:cNvPr id="21" name="Gruppieren 20">
          <a:extLst>
            <a:ext uri="{FF2B5EF4-FFF2-40B4-BE49-F238E27FC236}">
              <a16:creationId xmlns:a16="http://schemas.microsoft.com/office/drawing/2014/main" id="{00000000-0008-0000-0000-000015000000}"/>
            </a:ext>
          </a:extLst>
        </xdr:cNvPr>
        <xdr:cNvGrpSpPr/>
      </xdr:nvGrpSpPr>
      <xdr:grpSpPr>
        <a:xfrm>
          <a:off x="10537030" y="5494495"/>
          <a:ext cx="4283869" cy="7107079"/>
          <a:chOff x="10879931" y="5608796"/>
          <a:chExt cx="3090863" cy="5128737"/>
        </a:xfrm>
        <a:effectLst>
          <a:glow rad="63500">
            <a:schemeClr val="accent1">
              <a:satMod val="175000"/>
              <a:alpha val="40000"/>
            </a:schemeClr>
          </a:glow>
        </a:effectLst>
      </xdr:grpSpPr>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81834" y="5608796"/>
            <a:ext cx="3048956" cy="6600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Grafik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79931" y="6064567"/>
            <a:ext cx="3090863" cy="467296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142876</xdr:colOff>
      <xdr:row>4</xdr:row>
      <xdr:rowOff>57151</xdr:rowOff>
    </xdr:from>
    <xdr:to>
      <xdr:col>2</xdr:col>
      <xdr:colOff>1409701</xdr:colOff>
      <xdr:row>4</xdr:row>
      <xdr:rowOff>685801</xdr:rowOff>
    </xdr:to>
    <mc:AlternateContent xmlns:mc="http://schemas.openxmlformats.org/markup-compatibility/2006" xmlns:a14="http://schemas.microsoft.com/office/drawing/2010/main">
      <mc:Choice Requires="a14">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3133726" y="6334126"/>
              <a:ext cx="1266825" cy="6286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𝑡</m:t>
                        </m:r>
                      </m:e>
                      <m:sub>
                        <m:r>
                          <a:rPr lang="de-DE" sz="1600" b="0" i="1">
                            <a:solidFill>
                              <a:schemeClr val="tx1"/>
                            </a:solidFill>
                            <a:latin typeface="Cambria Math"/>
                            <a:ea typeface="+mn-ea"/>
                            <a:cs typeface="+mn-cs"/>
                          </a:rPr>
                          <m:t>𝑅</m:t>
                        </m:r>
                      </m:sub>
                    </m:sSub>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𝑉</m:t>
                            </m:r>
                          </m:e>
                          <m:sub>
                            <m:r>
                              <a:rPr lang="de-DE" sz="1600" b="0" i="1">
                                <a:solidFill>
                                  <a:schemeClr val="tx1"/>
                                </a:solidFill>
                                <a:latin typeface="Cambria Math"/>
                                <a:ea typeface="+mn-ea"/>
                                <a:cs typeface="+mn-cs"/>
                              </a:rPr>
                              <m:t>𝑉𝐾𝐵</m:t>
                            </m:r>
                          </m:sub>
                        </m:sSub>
                      </m:num>
                      <m:den>
                        <m:r>
                          <a:rPr lang="de-DE" sz="1600" b="0" i="1">
                            <a:solidFill>
                              <a:schemeClr val="tx1"/>
                            </a:solidFill>
                            <a:latin typeface="Cambria Math"/>
                            <a:ea typeface="+mn-ea"/>
                            <a:cs typeface="+mn-cs"/>
                          </a:rPr>
                          <m:t>𝑄</m:t>
                        </m:r>
                      </m:den>
                    </m:f>
                  </m:oMath>
                </m:oMathPara>
              </a14:m>
              <a:endParaRPr lang="de-DE" sz="1600" b="0" i="1">
                <a:solidFill>
                  <a:schemeClr val="tx1"/>
                </a:solidFill>
                <a:latin typeface="Cambria Math"/>
                <a:ea typeface="+mn-ea"/>
                <a:cs typeface="+mn-cs"/>
              </a:endParaRPr>
            </a:p>
          </xdr:txBody>
        </xdr:sp>
      </mc:Choice>
      <mc:Fallback xmlns="">
        <xdr:sp macro="" textlink="">
          <xdr:nvSpPr>
            <xdr:cNvPr id="22" name="Textfeld 21"/>
            <xdr:cNvSpPr txBox="1"/>
          </xdr:nvSpPr>
          <xdr:spPr>
            <a:xfrm>
              <a:off x="3133726" y="6334126"/>
              <a:ext cx="1266825" cy="628650"/>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𝑡_𝑅=  𝑉_𝑉𝐾𝐵/𝑄</a:t>
              </a:r>
              <a:endParaRPr lang="de-DE" sz="1600" b="0" i="1">
                <a:solidFill>
                  <a:schemeClr val="tx1"/>
                </a:solidFill>
                <a:latin typeface="Cambria Math"/>
                <a:ea typeface="+mn-ea"/>
                <a:cs typeface="+mn-cs"/>
              </a:endParaRPr>
            </a:p>
          </xdr:txBody>
        </xdr:sp>
      </mc:Fallback>
    </mc:AlternateContent>
    <xdr:clientData/>
  </xdr:twoCellAnchor>
  <xdr:twoCellAnchor>
    <xdr:from>
      <xdr:col>2</xdr:col>
      <xdr:colOff>142876</xdr:colOff>
      <xdr:row>5</xdr:row>
      <xdr:rowOff>209550</xdr:rowOff>
    </xdr:from>
    <xdr:to>
      <xdr:col>2</xdr:col>
      <xdr:colOff>1876425</xdr:colOff>
      <xdr:row>5</xdr:row>
      <xdr:rowOff>600075</xdr:rowOff>
    </xdr:to>
    <mc:AlternateContent xmlns:mc="http://schemas.openxmlformats.org/markup-compatibility/2006" xmlns:a14="http://schemas.microsoft.com/office/drawing/2010/main">
      <mc:Choice Requires="a14">
        <xdr:sp macro="" textlink="">
          <xdr:nvSpPr>
            <xdr:cNvPr id="23" name="Textfeld 22">
              <a:extLst>
                <a:ext uri="{FF2B5EF4-FFF2-40B4-BE49-F238E27FC236}">
                  <a16:creationId xmlns:a16="http://schemas.microsoft.com/office/drawing/2014/main" id="{00000000-0008-0000-0000-000017000000}"/>
                </a:ext>
              </a:extLst>
            </xdr:cNvPr>
            <xdr:cNvSpPr txBox="1"/>
          </xdr:nvSpPr>
          <xdr:spPr>
            <a:xfrm>
              <a:off x="3133726" y="7248525"/>
              <a:ext cx="1733549" cy="3905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𝑉</m:t>
                      </m:r>
                    </m:e>
                    <m:sub>
                      <m:r>
                        <a:rPr lang="de-DE" sz="1600" b="0" i="1">
                          <a:solidFill>
                            <a:schemeClr val="tx1"/>
                          </a:solidFill>
                          <a:latin typeface="Cambria Math"/>
                          <a:ea typeface="+mn-ea"/>
                          <a:cs typeface="+mn-cs"/>
                        </a:rPr>
                        <m:t>𝑉𝐾𝐵</m:t>
                      </m:r>
                    </m:sub>
                  </m:sSub>
                  <m:r>
                    <a:rPr lang="de-DE" sz="1600" b="0" i="1">
                      <a:solidFill>
                        <a:schemeClr val="tx1"/>
                      </a:solidFill>
                      <a:latin typeface="Cambria Math"/>
                      <a:ea typeface="+mn-ea"/>
                      <a:cs typeface="+mn-cs"/>
                    </a:rPr>
                    <m:t>= </m:t>
                  </m:r>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𝑡</m:t>
                      </m:r>
                    </m:e>
                    <m:sub>
                      <m:r>
                        <a:rPr lang="de-DE" sz="1600" b="0" i="1">
                          <a:solidFill>
                            <a:schemeClr val="tx1"/>
                          </a:solidFill>
                          <a:latin typeface="Cambria Math"/>
                          <a:ea typeface="+mn-ea"/>
                          <a:cs typeface="+mn-cs"/>
                        </a:rPr>
                        <m:t>𝑅</m:t>
                      </m:r>
                      <m:r>
                        <a:rPr lang="de-DE" sz="1600" b="0" i="1">
                          <a:solidFill>
                            <a:schemeClr val="tx1"/>
                          </a:solidFill>
                          <a:latin typeface="Cambria Math"/>
                          <a:ea typeface="+mn-ea"/>
                          <a:cs typeface="+mn-cs"/>
                        </a:rPr>
                        <m:t> </m:t>
                      </m:r>
                    </m:sub>
                  </m:sSub>
                  <m:r>
                    <a:rPr lang="de-DE" sz="1600" b="0" i="1">
                      <a:solidFill>
                        <a:schemeClr val="tx1"/>
                      </a:solidFill>
                      <a:latin typeface="Cambria Math"/>
                      <a:ea typeface="+mn-ea"/>
                      <a:cs typeface="+mn-cs"/>
                    </a:rPr>
                    <m:t>∗ </m:t>
                  </m:r>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𝑄</m:t>
                      </m:r>
                    </m:e>
                    <m:sub>
                      <m:r>
                        <a:rPr lang="de-DE" sz="1600" b="0" i="1">
                          <a:solidFill>
                            <a:schemeClr val="tx1"/>
                          </a:solidFill>
                          <a:latin typeface="Cambria Math"/>
                          <a:ea typeface="+mn-ea"/>
                          <a:cs typeface="+mn-cs"/>
                        </a:rPr>
                        <m:t>𝑡</m:t>
                      </m:r>
                    </m:sub>
                  </m:sSub>
                </m:oMath>
              </a14:m>
              <a:r>
                <a:rPr lang="de-DE" sz="1600" b="0" i="1">
                  <a:solidFill>
                    <a:schemeClr val="tx1"/>
                  </a:solidFill>
                  <a:latin typeface="Cambria Math"/>
                  <a:ea typeface="+mn-ea"/>
                  <a:cs typeface="+mn-cs"/>
                </a:rPr>
                <a:t> </a:t>
              </a:r>
            </a:p>
          </xdr:txBody>
        </xdr:sp>
      </mc:Choice>
      <mc:Fallback xmlns="">
        <xdr:sp macro="" textlink="">
          <xdr:nvSpPr>
            <xdr:cNvPr id="23" name="Textfeld 22"/>
            <xdr:cNvSpPr txBox="1"/>
          </xdr:nvSpPr>
          <xdr:spPr>
            <a:xfrm>
              <a:off x="3133726" y="7248525"/>
              <a:ext cx="1733549" cy="3905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𝑉_𝑉𝐾𝐵= 𝑡_(𝑅 )∗ 𝑄_𝑡</a:t>
              </a:r>
              <a:r>
                <a:rPr lang="de-DE" sz="1600" b="0" i="1">
                  <a:solidFill>
                    <a:schemeClr val="tx1"/>
                  </a:solidFill>
                  <a:latin typeface="Cambria Math"/>
                  <a:ea typeface="+mn-ea"/>
                  <a:cs typeface="+mn-cs"/>
                </a:rPr>
                <a:t> </a:t>
              </a:r>
            </a:p>
          </xdr:txBody>
        </xdr:sp>
      </mc:Fallback>
    </mc:AlternateContent>
    <xdr:clientData/>
  </xdr:twoCellAnchor>
  <xdr:twoCellAnchor>
    <xdr:from>
      <xdr:col>2</xdr:col>
      <xdr:colOff>142876</xdr:colOff>
      <xdr:row>6</xdr:row>
      <xdr:rowOff>95250</xdr:rowOff>
    </xdr:from>
    <xdr:to>
      <xdr:col>2</xdr:col>
      <xdr:colOff>1409701</xdr:colOff>
      <xdr:row>6</xdr:row>
      <xdr:rowOff>676276</xdr:rowOff>
    </xdr:to>
    <mc:AlternateContent xmlns:mc="http://schemas.openxmlformats.org/markup-compatibility/2006" xmlns:a14="http://schemas.microsoft.com/office/drawing/2010/main">
      <mc:Choice Requires="a14">
        <xdr:sp macro="" textlink="">
          <xdr:nvSpPr>
            <xdr:cNvPr id="24" name="Textfeld 23">
              <a:extLst>
                <a:ext uri="{FF2B5EF4-FFF2-40B4-BE49-F238E27FC236}">
                  <a16:creationId xmlns:a16="http://schemas.microsoft.com/office/drawing/2014/main" id="{00000000-0008-0000-0000-000018000000}"/>
                </a:ext>
              </a:extLst>
            </xdr:cNvPr>
            <xdr:cNvSpPr txBox="1"/>
          </xdr:nvSpPr>
          <xdr:spPr>
            <a:xfrm>
              <a:off x="3133726" y="789622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Para xmlns:m="http://schemas.openxmlformats.org/officeDocument/2006/math">
                  <m:oMathParaPr>
                    <m:jc m:val="left"/>
                  </m:oMathParaPr>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𝑞</m:t>
                        </m:r>
                      </m:e>
                      <m:sub>
                        <m:r>
                          <a:rPr lang="de-DE" sz="1600" b="0" i="1">
                            <a:solidFill>
                              <a:schemeClr val="tx1"/>
                            </a:solidFill>
                            <a:latin typeface="Cambria Math"/>
                            <a:ea typeface="+mn-ea"/>
                            <a:cs typeface="+mn-cs"/>
                          </a:rPr>
                          <m:t>𝐴</m:t>
                        </m:r>
                      </m:sub>
                    </m:sSub>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𝑄</m:t>
                            </m:r>
                          </m:e>
                          <m:sub>
                            <m:r>
                              <a:rPr lang="de-DE" sz="1600" b="0" i="1">
                                <a:solidFill>
                                  <a:schemeClr val="tx1"/>
                                </a:solidFill>
                                <a:latin typeface="Cambria Math"/>
                                <a:ea typeface="+mn-ea"/>
                                <a:cs typeface="+mn-cs"/>
                              </a:rPr>
                              <m:t>𝑡</m:t>
                            </m:r>
                          </m:sub>
                        </m:sSub>
                      </m:num>
                      <m:den>
                        <m:r>
                          <a:rPr lang="de-DE" sz="1600" b="0" i="1">
                            <a:solidFill>
                              <a:schemeClr val="tx1"/>
                            </a:solidFill>
                            <a:latin typeface="Cambria Math"/>
                            <a:ea typeface="+mn-ea"/>
                            <a:cs typeface="+mn-cs"/>
                          </a:rPr>
                          <m:t>𝐴</m:t>
                        </m:r>
                      </m:den>
                    </m:f>
                  </m:oMath>
                </m:oMathPara>
              </a14:m>
              <a:endParaRPr lang="de-DE" sz="1600" b="0" i="1">
                <a:solidFill>
                  <a:schemeClr val="tx1"/>
                </a:solidFill>
                <a:latin typeface="Cambria Math"/>
                <a:ea typeface="+mn-ea"/>
                <a:cs typeface="+mn-cs"/>
              </a:endParaRPr>
            </a:p>
          </xdr:txBody>
        </xdr:sp>
      </mc:Choice>
      <mc:Fallback xmlns="">
        <xdr:sp macro="" textlink="">
          <xdr:nvSpPr>
            <xdr:cNvPr id="24" name="Textfeld 23"/>
            <xdr:cNvSpPr txBox="1"/>
          </xdr:nvSpPr>
          <xdr:spPr>
            <a:xfrm>
              <a:off x="3133726" y="7896225"/>
              <a:ext cx="1266825" cy="581026"/>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𝑞_𝐴=  𝑄_𝑡/𝐴</a:t>
              </a:r>
              <a:endParaRPr lang="de-DE" sz="1600" b="0" i="1">
                <a:solidFill>
                  <a:schemeClr val="tx1"/>
                </a:solidFill>
                <a:latin typeface="Cambria Math"/>
                <a:ea typeface="+mn-ea"/>
                <a:cs typeface="+mn-cs"/>
              </a:endParaRPr>
            </a:p>
          </xdr:txBody>
        </xdr:sp>
      </mc:Fallback>
    </mc:AlternateContent>
    <xdr:clientData/>
  </xdr:twoCellAnchor>
  <xdr:twoCellAnchor>
    <xdr:from>
      <xdr:col>2</xdr:col>
      <xdr:colOff>142876</xdr:colOff>
      <xdr:row>16</xdr:row>
      <xdr:rowOff>171450</xdr:rowOff>
    </xdr:from>
    <xdr:to>
      <xdr:col>2</xdr:col>
      <xdr:colOff>2409825</xdr:colOff>
      <xdr:row>16</xdr:row>
      <xdr:rowOff>619125</xdr:rowOff>
    </xdr:to>
    <mc:AlternateContent xmlns:mc="http://schemas.openxmlformats.org/markup-compatibility/2006" xmlns:a14="http://schemas.microsoft.com/office/drawing/2010/main">
      <mc:Choice Requires="a14">
        <xdr:sp macro="" textlink="">
          <xdr:nvSpPr>
            <xdr:cNvPr id="25" name="Textfeld 24">
              <a:extLst>
                <a:ext uri="{FF2B5EF4-FFF2-40B4-BE49-F238E27FC236}">
                  <a16:creationId xmlns:a16="http://schemas.microsoft.com/office/drawing/2014/main" id="{00000000-0008-0000-0000-000019000000}"/>
                </a:ext>
              </a:extLst>
            </xdr:cNvPr>
            <xdr:cNvSpPr txBox="1"/>
          </xdr:nvSpPr>
          <xdr:spPr>
            <a:xfrm>
              <a:off x="3133726" y="13449300"/>
              <a:ext cx="2266949" cy="44767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𝑡</m:t>
                      </m:r>
                    </m:e>
                    <m:sub>
                      <m:r>
                        <a:rPr lang="de-DE" sz="1600" b="0" i="1">
                          <a:solidFill>
                            <a:schemeClr val="tx1"/>
                          </a:solidFill>
                          <a:latin typeface="Cambria Math"/>
                          <a:ea typeface="+mn-ea"/>
                          <a:cs typeface="+mn-cs"/>
                        </a:rPr>
                        <m:t>𝑅</m:t>
                      </m:r>
                      <m:r>
                        <a:rPr lang="de-DE" sz="1600" b="0" i="1">
                          <a:solidFill>
                            <a:schemeClr val="tx1"/>
                          </a:solidFill>
                          <a:latin typeface="Cambria Math"/>
                          <a:ea typeface="+mn-ea"/>
                          <a:cs typeface="+mn-cs"/>
                        </a:rPr>
                        <m:t>,</m:t>
                      </m:r>
                      <m:r>
                        <a:rPr lang="de-DE" sz="1600" b="0" i="1">
                          <a:solidFill>
                            <a:schemeClr val="tx1"/>
                          </a:solidFill>
                          <a:latin typeface="Cambria Math"/>
                          <a:ea typeface="+mn-ea"/>
                          <a:cs typeface="+mn-cs"/>
                        </a:rPr>
                        <m:t>𝑇𝑊</m:t>
                      </m:r>
                    </m:sub>
                  </m:sSub>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𝑉</m:t>
                          </m:r>
                        </m:e>
                        <m:sub>
                          <m:r>
                            <a:rPr lang="de-DE" sz="1600" b="0" i="1">
                              <a:solidFill>
                                <a:schemeClr val="tx1"/>
                              </a:solidFill>
                              <a:latin typeface="Cambria Math"/>
                              <a:ea typeface="+mn-ea"/>
                              <a:cs typeface="+mn-cs"/>
                            </a:rPr>
                            <m:t>𝑉𝐾𝐵</m:t>
                          </m:r>
                        </m:sub>
                      </m:sSub>
                    </m:num>
                    <m:den>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𝑄</m:t>
                          </m:r>
                        </m:e>
                        <m:sub>
                          <m:r>
                            <a:rPr lang="de-DE" sz="1600" b="0" i="1">
                              <a:solidFill>
                                <a:schemeClr val="tx1"/>
                              </a:solidFill>
                              <a:latin typeface="Cambria Math"/>
                              <a:ea typeface="+mn-ea"/>
                              <a:cs typeface="+mn-cs"/>
                            </a:rPr>
                            <m:t>𝑡</m:t>
                          </m:r>
                        </m:sub>
                      </m:sSub>
                    </m:den>
                  </m:f>
                  <m:r>
                    <a:rPr lang="de-DE" sz="1600" b="0" i="1">
                      <a:solidFill>
                        <a:schemeClr val="tx1"/>
                      </a:solidFill>
                      <a:latin typeface="Cambria Math"/>
                      <a:ea typeface="+mn-ea"/>
                      <a:cs typeface="+mn-cs"/>
                    </a:rPr>
                    <m:t> </m:t>
                  </m:r>
                  <m:r>
                    <a:rPr lang="de-DE" sz="1600" b="0" i="1">
                      <a:solidFill>
                        <a:schemeClr val="tx1"/>
                      </a:solidFill>
                      <a:latin typeface="Cambria Math"/>
                      <a:ea typeface="Cambria Math"/>
                      <a:cs typeface="+mn-cs"/>
                    </a:rPr>
                    <m:t>≥</m:t>
                  </m:r>
                </m:oMath>
              </a14:m>
              <a:r>
                <a:rPr lang="de-DE" sz="1600" b="0" i="1">
                  <a:solidFill>
                    <a:schemeClr val="tx1"/>
                  </a:solidFill>
                  <a:latin typeface="Cambria Math"/>
                  <a:ea typeface="+mn-ea"/>
                  <a:cs typeface="+mn-cs"/>
                </a:rPr>
                <a:t> 1,0 h</a:t>
              </a:r>
            </a:p>
          </xdr:txBody>
        </xdr:sp>
      </mc:Choice>
      <mc:Fallback xmlns="">
        <xdr:sp macro="" textlink="">
          <xdr:nvSpPr>
            <xdr:cNvPr id="25" name="Textfeld 24"/>
            <xdr:cNvSpPr txBox="1"/>
          </xdr:nvSpPr>
          <xdr:spPr>
            <a:xfrm>
              <a:off x="3133726" y="13449300"/>
              <a:ext cx="2266949" cy="44767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𝑡_(𝑅,𝑇𝑊)=  𝑉_𝑉𝐾𝐵/𝑄_𝑡   </a:t>
              </a:r>
              <a:r>
                <a:rPr lang="de-DE" sz="1600" b="0" i="0">
                  <a:solidFill>
                    <a:schemeClr val="tx1"/>
                  </a:solidFill>
                  <a:latin typeface="Cambria Math"/>
                  <a:ea typeface="Cambria Math"/>
                  <a:cs typeface="+mn-cs"/>
                </a:rPr>
                <a:t>≥</a:t>
              </a:r>
              <a:r>
                <a:rPr lang="de-DE" sz="1600" b="0" i="1">
                  <a:solidFill>
                    <a:schemeClr val="tx1"/>
                  </a:solidFill>
                  <a:latin typeface="Cambria Math"/>
                  <a:ea typeface="+mn-ea"/>
                  <a:cs typeface="+mn-cs"/>
                </a:rPr>
                <a:t> 1,0 h</a:t>
              </a:r>
            </a:p>
          </xdr:txBody>
        </xdr:sp>
      </mc:Fallback>
    </mc:AlternateContent>
    <xdr:clientData/>
  </xdr:twoCellAnchor>
  <xdr:twoCellAnchor>
    <xdr:from>
      <xdr:col>2</xdr:col>
      <xdr:colOff>142876</xdr:colOff>
      <xdr:row>17</xdr:row>
      <xdr:rowOff>180975</xdr:rowOff>
    </xdr:from>
    <xdr:to>
      <xdr:col>2</xdr:col>
      <xdr:colOff>2409825</xdr:colOff>
      <xdr:row>17</xdr:row>
      <xdr:rowOff>685800</xdr:rowOff>
    </xdr:to>
    <mc:AlternateContent xmlns:mc="http://schemas.openxmlformats.org/markup-compatibility/2006" xmlns:a14="http://schemas.microsoft.com/office/drawing/2010/main">
      <mc:Choice Requires="a14">
        <xdr:sp macro="" textlink="">
          <xdr:nvSpPr>
            <xdr:cNvPr id="26" name="Textfeld 25">
              <a:extLst>
                <a:ext uri="{FF2B5EF4-FFF2-40B4-BE49-F238E27FC236}">
                  <a16:creationId xmlns:a16="http://schemas.microsoft.com/office/drawing/2014/main" id="{00000000-0008-0000-0000-00001A000000}"/>
                </a:ext>
              </a:extLst>
            </xdr:cNvPr>
            <xdr:cNvSpPr txBox="1"/>
          </xdr:nvSpPr>
          <xdr:spPr>
            <a:xfrm>
              <a:off x="3133726" y="15487650"/>
              <a:ext cx="2266949" cy="5048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14:m>
                <m:oMath xmlns:m="http://schemas.openxmlformats.org/officeDocument/2006/math">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𝑡</m:t>
                      </m:r>
                    </m:e>
                    <m:sub>
                      <m:r>
                        <a:rPr lang="de-DE" sz="1600" b="0" i="1">
                          <a:solidFill>
                            <a:schemeClr val="tx1"/>
                          </a:solidFill>
                          <a:latin typeface="Cambria Math"/>
                          <a:ea typeface="+mn-ea"/>
                          <a:cs typeface="+mn-cs"/>
                        </a:rPr>
                        <m:t>𝑅</m:t>
                      </m:r>
                      <m:r>
                        <a:rPr lang="de-DE" sz="1600" b="0" i="1">
                          <a:solidFill>
                            <a:schemeClr val="tx1"/>
                          </a:solidFill>
                          <a:latin typeface="Cambria Math"/>
                          <a:ea typeface="+mn-ea"/>
                          <a:cs typeface="+mn-cs"/>
                        </a:rPr>
                        <m:t>,</m:t>
                      </m:r>
                      <m:r>
                        <a:rPr lang="de-DE" sz="1600" b="0" i="1">
                          <a:solidFill>
                            <a:schemeClr val="tx1"/>
                          </a:solidFill>
                          <a:latin typeface="Cambria Math"/>
                          <a:ea typeface="+mn-ea"/>
                          <a:cs typeface="+mn-cs"/>
                        </a:rPr>
                        <m:t>𝑅𝑊</m:t>
                      </m:r>
                    </m:sub>
                  </m:sSub>
                  <m:r>
                    <a:rPr lang="de-DE" sz="1600" b="0" i="1">
                      <a:solidFill>
                        <a:schemeClr val="tx1"/>
                      </a:solidFill>
                      <a:latin typeface="Cambria Math"/>
                      <a:ea typeface="+mn-ea"/>
                      <a:cs typeface="+mn-cs"/>
                    </a:rPr>
                    <m:t>= </m:t>
                  </m:r>
                  <m:f>
                    <m:fPr>
                      <m:ctrlPr>
                        <a:rPr lang="de-DE" sz="1600" b="0" i="1">
                          <a:solidFill>
                            <a:schemeClr val="tx1"/>
                          </a:solidFill>
                          <a:latin typeface="Cambria Math" panose="02040503050406030204" pitchFamily="18" charset="0"/>
                          <a:ea typeface="+mn-ea"/>
                          <a:cs typeface="+mn-cs"/>
                        </a:rPr>
                      </m:ctrlPr>
                    </m:fPr>
                    <m:num>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𝑉</m:t>
                          </m:r>
                        </m:e>
                        <m:sub>
                          <m:r>
                            <a:rPr lang="de-DE" sz="1600" b="0" i="1">
                              <a:solidFill>
                                <a:schemeClr val="tx1"/>
                              </a:solidFill>
                              <a:latin typeface="Cambria Math"/>
                              <a:ea typeface="+mn-ea"/>
                              <a:cs typeface="+mn-cs"/>
                            </a:rPr>
                            <m:t>𝑉𝐾𝐵</m:t>
                          </m:r>
                        </m:sub>
                      </m:sSub>
                    </m:num>
                    <m:den>
                      <m:sSub>
                        <m:sSubPr>
                          <m:ctrlPr>
                            <a:rPr lang="de-DE" sz="1600" b="0" i="1">
                              <a:solidFill>
                                <a:schemeClr val="tx1"/>
                              </a:solidFill>
                              <a:latin typeface="Cambria Math" panose="02040503050406030204" pitchFamily="18" charset="0"/>
                              <a:ea typeface="+mn-ea"/>
                              <a:cs typeface="+mn-cs"/>
                            </a:rPr>
                          </m:ctrlPr>
                        </m:sSubPr>
                        <m:e>
                          <m:r>
                            <a:rPr lang="de-DE" sz="1600" b="0" i="1">
                              <a:solidFill>
                                <a:schemeClr val="tx1"/>
                              </a:solidFill>
                              <a:latin typeface="Cambria Math"/>
                              <a:ea typeface="+mn-ea"/>
                              <a:cs typeface="+mn-cs"/>
                            </a:rPr>
                            <m:t>𝑄</m:t>
                          </m:r>
                        </m:e>
                        <m:sub>
                          <m:r>
                            <a:rPr lang="de-DE" sz="1600" b="0" i="1">
                              <a:solidFill>
                                <a:schemeClr val="tx1"/>
                              </a:solidFill>
                              <a:latin typeface="Cambria Math"/>
                              <a:ea typeface="+mn-ea"/>
                              <a:cs typeface="+mn-cs"/>
                            </a:rPr>
                            <m:t>𝑚</m:t>
                          </m:r>
                        </m:sub>
                      </m:sSub>
                    </m:den>
                  </m:f>
                  <m:r>
                    <a:rPr lang="de-DE" sz="1600" b="0" i="1">
                      <a:solidFill>
                        <a:schemeClr val="tx1"/>
                      </a:solidFill>
                      <a:latin typeface="Cambria Math"/>
                      <a:ea typeface="+mn-ea"/>
                      <a:cs typeface="+mn-cs"/>
                    </a:rPr>
                    <m:t> </m:t>
                  </m:r>
                  <m:r>
                    <a:rPr lang="de-DE" sz="1600" b="0" i="1">
                      <a:solidFill>
                        <a:schemeClr val="tx1"/>
                      </a:solidFill>
                      <a:latin typeface="Cambria Math"/>
                      <a:ea typeface="Cambria Math"/>
                      <a:cs typeface="+mn-cs"/>
                    </a:rPr>
                    <m:t>≥</m:t>
                  </m:r>
                </m:oMath>
              </a14:m>
              <a:r>
                <a:rPr lang="de-DE" sz="1600" b="0" i="1">
                  <a:solidFill>
                    <a:schemeClr val="tx1"/>
                  </a:solidFill>
                  <a:latin typeface="Cambria Math"/>
                  <a:ea typeface="+mn-ea"/>
                  <a:cs typeface="+mn-cs"/>
                </a:rPr>
                <a:t> 0,3 h</a:t>
              </a:r>
            </a:p>
          </xdr:txBody>
        </xdr:sp>
      </mc:Choice>
      <mc:Fallback xmlns="">
        <xdr:sp macro="" textlink="">
          <xdr:nvSpPr>
            <xdr:cNvPr id="26" name="Textfeld 25"/>
            <xdr:cNvSpPr txBox="1"/>
          </xdr:nvSpPr>
          <xdr:spPr>
            <a:xfrm>
              <a:off x="3133726" y="15487650"/>
              <a:ext cx="2266949" cy="504825"/>
            </a:xfrm>
            <a:prstGeom prst="rect">
              <a:avLst/>
            </a:prstGeom>
            <a:noFill/>
            <a:ln w="12700">
              <a:solidFill>
                <a:schemeClr val="tx1"/>
              </a:solidFill>
              <a:prstDash val="solid"/>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de-DE" sz="1600" b="0" i="0">
                  <a:solidFill>
                    <a:schemeClr val="tx1"/>
                  </a:solidFill>
                  <a:latin typeface="Cambria Math"/>
                  <a:ea typeface="+mn-ea"/>
                  <a:cs typeface="+mn-cs"/>
                </a:rPr>
                <a:t>𝑡_(𝑅,𝑅𝑊)=  𝑉_𝑉𝐾𝐵/𝑄_𝑚   </a:t>
              </a:r>
              <a:r>
                <a:rPr lang="de-DE" sz="1600" b="0" i="0">
                  <a:solidFill>
                    <a:schemeClr val="tx1"/>
                  </a:solidFill>
                  <a:latin typeface="Cambria Math"/>
                  <a:ea typeface="Cambria Math"/>
                  <a:cs typeface="+mn-cs"/>
                </a:rPr>
                <a:t>≥</a:t>
              </a:r>
              <a:r>
                <a:rPr lang="de-DE" sz="1600" b="0" i="1">
                  <a:solidFill>
                    <a:schemeClr val="tx1"/>
                  </a:solidFill>
                  <a:latin typeface="Cambria Math"/>
                  <a:ea typeface="+mn-ea"/>
                  <a:cs typeface="+mn-cs"/>
                </a:rPr>
                <a:t> 0,3 h</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76201</xdr:colOff>
      <xdr:row>12</xdr:row>
      <xdr:rowOff>78487</xdr:rowOff>
    </xdr:from>
    <xdr:to>
      <xdr:col>2</xdr:col>
      <xdr:colOff>4591051</xdr:colOff>
      <xdr:row>12</xdr:row>
      <xdr:rowOff>447674</xdr:rowOff>
    </xdr:to>
    <xdr:pic>
      <xdr:nvPicPr>
        <xdr:cNvPr id="2" name="Grafik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1851" y="7022212"/>
          <a:ext cx="4514850" cy="369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104775</xdr:colOff>
      <xdr:row>11</xdr:row>
      <xdr:rowOff>323850</xdr:rowOff>
    </xdr:from>
    <xdr:ext cx="3248025" cy="364523"/>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3400425" y="6257925"/>
              <a:ext cx="3248025" cy="364523"/>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𝑁𝑂</m:t>
                        </m:r>
                        <m:r>
                          <a:rPr lang="de-DE" sz="1600" b="0" i="1">
                            <a:latin typeface="Cambria Math"/>
                          </a:rPr>
                          <m:t>3,</m:t>
                        </m:r>
                        <m:r>
                          <a:rPr lang="de-DE" sz="1600" b="0" i="1">
                            <a:latin typeface="Cambria Math"/>
                          </a:rPr>
                          <m:t>𝐴𝑁</m:t>
                        </m:r>
                      </m:sub>
                    </m:sSub>
                    <m:r>
                      <a:rPr lang="de-DE" sz="1600" b="0" i="1">
                        <a:latin typeface="Cambria Math"/>
                      </a:rPr>
                      <m:t>=0,6 …0,8 ∗ </m:t>
                    </m:r>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𝑎𝑛𝑜𝑟𝑔𝑁</m:t>
                        </m:r>
                        <m:r>
                          <a:rPr lang="de-DE" sz="1600" b="0" i="1">
                            <a:latin typeface="Cambria Math"/>
                          </a:rPr>
                          <m:t>,Ü</m:t>
                        </m:r>
                        <m:r>
                          <a:rPr lang="de-DE" sz="1600" b="0" i="1">
                            <a:latin typeface="Cambria Math"/>
                          </a:rPr>
                          <m:t>𝑊</m:t>
                        </m:r>
                      </m:sub>
                    </m:sSub>
                  </m:oMath>
                </m:oMathPara>
              </a14:m>
              <a:endParaRPr lang="de-DE" sz="1600" b="0"/>
            </a:p>
          </xdr:txBody>
        </xdr:sp>
      </mc:Choice>
      <mc:Fallback xmlns="">
        <xdr:sp macro="" textlink="">
          <xdr:nvSpPr>
            <xdr:cNvPr id="3" name="Textfeld 2"/>
            <xdr:cNvSpPr txBox="1"/>
          </xdr:nvSpPr>
          <xdr:spPr>
            <a:xfrm>
              <a:off x="3400425" y="6257925"/>
              <a:ext cx="3248025" cy="364523"/>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𝑆_(𝑁𝑂3,𝐴𝑁)=0,6 …0,8 ∗ 𝑆_(𝑎𝑛𝑜𝑟𝑔𝑁,Ü𝑊)</a:t>
              </a:r>
              <a:endParaRPr lang="de-DE" sz="1600" b="0"/>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76201</xdr:colOff>
      <xdr:row>12</xdr:row>
      <xdr:rowOff>78487</xdr:rowOff>
    </xdr:from>
    <xdr:to>
      <xdr:col>2</xdr:col>
      <xdr:colOff>4591051</xdr:colOff>
      <xdr:row>12</xdr:row>
      <xdr:rowOff>447674</xdr:rowOff>
    </xdr:to>
    <xdr:pic>
      <xdr:nvPicPr>
        <xdr:cNvPr id="4" name="Grafik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7076" y="6898387"/>
          <a:ext cx="4514850" cy="369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104775</xdr:colOff>
      <xdr:row>11</xdr:row>
      <xdr:rowOff>323850</xdr:rowOff>
    </xdr:from>
    <xdr:ext cx="3248025" cy="364523"/>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0B00-000003000000}"/>
                </a:ext>
              </a:extLst>
            </xdr:cNvPr>
            <xdr:cNvSpPr txBox="1"/>
          </xdr:nvSpPr>
          <xdr:spPr>
            <a:xfrm>
              <a:off x="3400425" y="7858125"/>
              <a:ext cx="3248025" cy="364523"/>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𝑁𝑂</m:t>
                        </m:r>
                        <m:r>
                          <a:rPr lang="de-DE" sz="1600" b="0" i="1">
                            <a:latin typeface="Cambria Math"/>
                          </a:rPr>
                          <m:t>3,</m:t>
                        </m:r>
                        <m:r>
                          <a:rPr lang="de-DE" sz="1600" b="0" i="1">
                            <a:latin typeface="Cambria Math"/>
                          </a:rPr>
                          <m:t>𝐴𝑁</m:t>
                        </m:r>
                      </m:sub>
                    </m:sSub>
                    <m:r>
                      <a:rPr lang="de-DE" sz="1600" b="0" i="1">
                        <a:latin typeface="Cambria Math"/>
                      </a:rPr>
                      <m:t>=0,6 …0,8 ∗ </m:t>
                    </m:r>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𝑎𝑛𝑜𝑟𝑔𝑁</m:t>
                        </m:r>
                        <m:r>
                          <a:rPr lang="de-DE" sz="1600" b="0" i="1">
                            <a:latin typeface="Cambria Math"/>
                          </a:rPr>
                          <m:t>,Ü</m:t>
                        </m:r>
                        <m:r>
                          <a:rPr lang="de-DE" sz="1600" b="0" i="1">
                            <a:latin typeface="Cambria Math"/>
                          </a:rPr>
                          <m:t>𝑊</m:t>
                        </m:r>
                      </m:sub>
                    </m:sSub>
                  </m:oMath>
                </m:oMathPara>
              </a14:m>
              <a:endParaRPr lang="de-DE" sz="1600" b="0"/>
            </a:p>
          </xdr:txBody>
        </xdr:sp>
      </mc:Choice>
      <mc:Fallback xmlns="">
        <xdr:sp macro="" textlink="">
          <xdr:nvSpPr>
            <xdr:cNvPr id="3" name="Textfeld 2"/>
            <xdr:cNvSpPr txBox="1"/>
          </xdr:nvSpPr>
          <xdr:spPr>
            <a:xfrm>
              <a:off x="3400425" y="7858125"/>
              <a:ext cx="3248025" cy="364523"/>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𝑆_(𝑁𝑂3,𝐴𝑁)=0,6 …0,8 ∗ 𝑆_(𝑎𝑛𝑜𝑟𝑔𝑁,Ü𝑊)</a:t>
              </a:r>
              <a:endParaRPr lang="de-DE" sz="1600" b="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152400</xdr:colOff>
      <xdr:row>2</xdr:row>
      <xdr:rowOff>228599</xdr:rowOff>
    </xdr:from>
    <xdr:to>
      <xdr:col>2</xdr:col>
      <xdr:colOff>4929188</xdr:colOff>
      <xdr:row>2</xdr:row>
      <xdr:rowOff>790574</xdr:rowOff>
    </xdr:to>
    <xdr:pic>
      <xdr:nvPicPr>
        <xdr:cNvPr id="2" name="Grafik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6575" y="733424"/>
          <a:ext cx="4776788" cy="5619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152400</xdr:colOff>
      <xdr:row>3</xdr:row>
      <xdr:rowOff>200025</xdr:rowOff>
    </xdr:from>
    <xdr:ext cx="2666564" cy="362984"/>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0C00-000003000000}"/>
                </a:ext>
              </a:extLst>
            </xdr:cNvPr>
            <xdr:cNvSpPr txBox="1"/>
          </xdr:nvSpPr>
          <xdr:spPr>
            <a:xfrm>
              <a:off x="3076575" y="1714500"/>
              <a:ext cx="2666564" cy="3629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𝐴𝑁</m:t>
                      </m:r>
                    </m:sub>
                  </m:sSub>
                  <m:r>
                    <a:rPr lang="de-DE" sz="1600" b="0" i="1">
                      <a:latin typeface="Cambria Math"/>
                      <a:ea typeface="Cambria Math" pitchFamily="18" charset="0"/>
                    </a:rPr>
                    <m:t>=0,6…0,7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𝑊</m:t>
                      </m:r>
                    </m:e>
                    <m:sub>
                      <m:r>
                        <a:rPr lang="de-DE" sz="1600" b="0" i="1">
                          <a:latin typeface="Cambria Math"/>
                          <a:ea typeface="Cambria Math" pitchFamily="18" charset="0"/>
                        </a:rPr>
                        <m:t>𝑃𝑔𝑒𝑠</m:t>
                      </m:r>
                    </m:sub>
                  </m:sSub>
                </m:oMath>
              </a14:m>
              <a:r>
                <a:rPr lang="de-DE" sz="1600">
                  <a:latin typeface="Cambria Math" pitchFamily="18" charset="0"/>
                  <a:ea typeface="Cambria Math" pitchFamily="18" charset="0"/>
                </a:rPr>
                <a:t> </a:t>
              </a:r>
            </a:p>
          </xdr:txBody>
        </xdr:sp>
      </mc:Choice>
      <mc:Fallback xmlns="">
        <xdr:sp macro="" textlink="">
          <xdr:nvSpPr>
            <xdr:cNvPr id="3" name="Textfeld 2"/>
            <xdr:cNvSpPr txBox="1"/>
          </xdr:nvSpPr>
          <xdr:spPr>
            <a:xfrm>
              <a:off x="3076575" y="1714500"/>
              <a:ext cx="2666564" cy="3629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𝐶_(𝑃,𝐴𝑁)=0,6…0,7 ∗</a:t>
              </a:r>
              <a:r>
                <a:rPr lang="de-DE" sz="1600" b="0" i="0">
                  <a:latin typeface="Cambria Math" pitchFamily="18" charset="0"/>
                  <a:ea typeface="Cambria Math" pitchFamily="18" charset="0"/>
                </a:rPr>
                <a:t> </a:t>
              </a:r>
              <a:r>
                <a:rPr lang="de-DE" sz="1600" b="0" i="0">
                  <a:latin typeface="Cambria Math"/>
                  <a:ea typeface="Cambria Math" pitchFamily="18" charset="0"/>
                </a:rPr>
                <a:t>〖Ü𝑊〗_𝑃𝑔𝑒𝑠</a:t>
              </a:r>
              <a:r>
                <a:rPr lang="de-DE" sz="1600">
                  <a:latin typeface="Cambria Math" pitchFamily="18" charset="0"/>
                  <a:ea typeface="Cambria Math" pitchFamily="18" charset="0"/>
                </a:rPr>
                <a:t> </a:t>
              </a:r>
            </a:p>
          </xdr:txBody>
        </xdr:sp>
      </mc:Fallback>
    </mc:AlternateContent>
    <xdr:clientData/>
  </xdr:oneCellAnchor>
  <xdr:oneCellAnchor>
    <xdr:from>
      <xdr:col>2</xdr:col>
      <xdr:colOff>152400</xdr:colOff>
      <xdr:row>4</xdr:row>
      <xdr:rowOff>238125</xdr:rowOff>
    </xdr:from>
    <xdr:ext cx="2298514" cy="349326"/>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0C00-000004000000}"/>
                </a:ext>
              </a:extLst>
            </xdr:cNvPr>
            <xdr:cNvSpPr txBox="1"/>
          </xdr:nvSpPr>
          <xdr:spPr>
            <a:xfrm>
              <a:off x="3076575" y="2514600"/>
              <a:ext cx="2298514"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𝐵𝑀</m:t>
                      </m:r>
                    </m:sub>
                  </m:sSub>
                  <m:r>
                    <a:rPr lang="de-DE" sz="1600" b="0" i="1">
                      <a:latin typeface="Cambria Math"/>
                      <a:ea typeface="Cambria Math" pitchFamily="18" charset="0"/>
                    </a:rPr>
                    <m:t>=0,01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4" name="Textfeld 3"/>
            <xdr:cNvSpPr txBox="1"/>
          </xdr:nvSpPr>
          <xdr:spPr>
            <a:xfrm>
              <a:off x="3076575" y="2514600"/>
              <a:ext cx="2298514"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𝑋_(𝑃,𝐵𝑀)=0,01 ∗</a:t>
              </a:r>
              <a:r>
                <a:rPr lang="de-DE" sz="1600" b="0" i="0">
                  <a:latin typeface="Cambria Math" pitchFamily="18" charset="0"/>
                  <a:ea typeface="Cambria Math" pitchFamily="18" charset="0"/>
                </a:rPr>
                <a:t> </a:t>
              </a:r>
              <a:r>
                <a:rPr lang="de-DE" sz="1600" b="0" i="0">
                  <a:latin typeface="Cambria Math"/>
                  <a:ea typeface="Cambria Math" pitchFamily="18" charset="0"/>
                </a:rPr>
                <a:t>𝐶_(𝐵𝑆𝐵,𝑍𝐵)</a:t>
              </a:r>
              <a:r>
                <a:rPr lang="de-DE" sz="1600">
                  <a:latin typeface="Cambria Math" pitchFamily="18" charset="0"/>
                  <a:ea typeface="Cambria Math" pitchFamily="18" charset="0"/>
                </a:rPr>
                <a:t> </a:t>
              </a:r>
            </a:p>
          </xdr:txBody>
        </xdr:sp>
      </mc:Fallback>
    </mc:AlternateContent>
    <xdr:clientData/>
  </xdr:oneCellAnchor>
  <xdr:oneCellAnchor>
    <xdr:from>
      <xdr:col>2</xdr:col>
      <xdr:colOff>152400</xdr:colOff>
      <xdr:row>5</xdr:row>
      <xdr:rowOff>95250</xdr:rowOff>
    </xdr:from>
    <xdr:ext cx="3123356" cy="349326"/>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0C00-000005000000}"/>
                </a:ext>
              </a:extLst>
            </xdr:cNvPr>
            <xdr:cNvSpPr txBox="1"/>
          </xdr:nvSpPr>
          <xdr:spPr>
            <a:xfrm>
              <a:off x="3076575" y="3133725"/>
              <a:ext cx="3123356"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𝐵𝑖𝑜𝑃</m:t>
                      </m:r>
                    </m:sub>
                  </m:sSub>
                  <m:r>
                    <a:rPr lang="de-DE" sz="1600" b="0" i="1">
                      <a:latin typeface="Cambria Math"/>
                      <a:ea typeface="Cambria Math" pitchFamily="18" charset="0"/>
                    </a:rPr>
                    <m:t>=0,01…0,015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5" name="Textfeld 4"/>
            <xdr:cNvSpPr txBox="1"/>
          </xdr:nvSpPr>
          <xdr:spPr>
            <a:xfrm>
              <a:off x="3076575" y="3133725"/>
              <a:ext cx="3123356"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𝑋_(𝑃,𝐵𝑖𝑜𝑃)=0,01…0,015 ∗</a:t>
              </a:r>
              <a:r>
                <a:rPr lang="de-DE" sz="1600" b="0" i="0">
                  <a:latin typeface="Cambria Math" pitchFamily="18" charset="0"/>
                  <a:ea typeface="Cambria Math" pitchFamily="18" charset="0"/>
                </a:rPr>
                <a:t> </a:t>
              </a:r>
              <a:r>
                <a:rPr lang="de-DE" sz="1600" b="0" i="0">
                  <a:latin typeface="Cambria Math"/>
                  <a:ea typeface="Cambria Math" pitchFamily="18" charset="0"/>
                </a:rPr>
                <a:t>𝐶_(𝐵𝑆𝐵,𝑍𝐵)</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152400</xdr:colOff>
      <xdr:row>6</xdr:row>
      <xdr:rowOff>114300</xdr:rowOff>
    </xdr:from>
    <xdr:to>
      <xdr:col>2</xdr:col>
      <xdr:colOff>5057775</xdr:colOff>
      <xdr:row>6</xdr:row>
      <xdr:rowOff>1171575</xdr:rowOff>
    </xdr:to>
    <xdr:pic>
      <xdr:nvPicPr>
        <xdr:cNvPr id="6" name="Grafik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3914775"/>
          <a:ext cx="4905375" cy="10572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152400</xdr:colOff>
      <xdr:row>2</xdr:row>
      <xdr:rowOff>228599</xdr:rowOff>
    </xdr:from>
    <xdr:to>
      <xdr:col>2</xdr:col>
      <xdr:colOff>4929188</xdr:colOff>
      <xdr:row>2</xdr:row>
      <xdr:rowOff>790574</xdr:rowOff>
    </xdr:to>
    <xdr:pic>
      <xdr:nvPicPr>
        <xdr:cNvPr id="6" name="Grafik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6575" y="733424"/>
          <a:ext cx="4776788" cy="5619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152400</xdr:colOff>
      <xdr:row>3</xdr:row>
      <xdr:rowOff>200025</xdr:rowOff>
    </xdr:from>
    <xdr:ext cx="2666564" cy="362984"/>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3076575" y="2476500"/>
              <a:ext cx="2666564" cy="3629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𝐴𝑁</m:t>
                      </m:r>
                    </m:sub>
                  </m:sSub>
                  <m:r>
                    <a:rPr lang="de-DE" sz="1600" b="0" i="1">
                      <a:latin typeface="Cambria Math"/>
                      <a:ea typeface="Cambria Math" pitchFamily="18" charset="0"/>
                    </a:rPr>
                    <m:t>=0,6…0,7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𝑊</m:t>
                      </m:r>
                    </m:e>
                    <m:sub>
                      <m:r>
                        <a:rPr lang="de-DE" sz="1600" b="0" i="1">
                          <a:latin typeface="Cambria Math"/>
                          <a:ea typeface="Cambria Math" pitchFamily="18" charset="0"/>
                        </a:rPr>
                        <m:t>𝑃𝑔𝑒𝑠</m:t>
                      </m:r>
                    </m:sub>
                  </m:sSub>
                </m:oMath>
              </a14:m>
              <a:r>
                <a:rPr lang="de-DE" sz="1600">
                  <a:latin typeface="Cambria Math" pitchFamily="18" charset="0"/>
                  <a:ea typeface="Cambria Math" pitchFamily="18" charset="0"/>
                </a:rPr>
                <a:t> </a:t>
              </a:r>
            </a:p>
          </xdr:txBody>
        </xdr:sp>
      </mc:Choice>
      <mc:Fallback xmlns="">
        <xdr:sp macro="" textlink="">
          <xdr:nvSpPr>
            <xdr:cNvPr id="7" name="Textfeld 6"/>
            <xdr:cNvSpPr txBox="1"/>
          </xdr:nvSpPr>
          <xdr:spPr>
            <a:xfrm>
              <a:off x="3076575" y="2476500"/>
              <a:ext cx="2666564" cy="3629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𝐶_(𝑃,𝐴𝑁)=0,6…0,7 ∗</a:t>
              </a:r>
              <a:r>
                <a:rPr lang="de-DE" sz="1600" b="0" i="0">
                  <a:latin typeface="Cambria Math" pitchFamily="18" charset="0"/>
                  <a:ea typeface="Cambria Math" pitchFamily="18" charset="0"/>
                </a:rPr>
                <a:t> </a:t>
              </a:r>
              <a:r>
                <a:rPr lang="de-DE" sz="1600" b="0" i="0">
                  <a:latin typeface="Cambria Math"/>
                  <a:ea typeface="Cambria Math" pitchFamily="18" charset="0"/>
                </a:rPr>
                <a:t>〖Ü𝑊〗_𝑃𝑔𝑒𝑠</a:t>
              </a:r>
              <a:r>
                <a:rPr lang="de-DE" sz="1600">
                  <a:latin typeface="Cambria Math" pitchFamily="18" charset="0"/>
                  <a:ea typeface="Cambria Math" pitchFamily="18" charset="0"/>
                </a:rPr>
                <a:t> </a:t>
              </a:r>
            </a:p>
          </xdr:txBody>
        </xdr:sp>
      </mc:Fallback>
    </mc:AlternateContent>
    <xdr:clientData/>
  </xdr:oneCellAnchor>
  <xdr:oneCellAnchor>
    <xdr:from>
      <xdr:col>2</xdr:col>
      <xdr:colOff>152400</xdr:colOff>
      <xdr:row>4</xdr:row>
      <xdr:rowOff>238125</xdr:rowOff>
    </xdr:from>
    <xdr:ext cx="2298514" cy="349326"/>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00000000-0008-0000-0D00-000008000000}"/>
                </a:ext>
              </a:extLst>
            </xdr:cNvPr>
            <xdr:cNvSpPr txBox="1"/>
          </xdr:nvSpPr>
          <xdr:spPr>
            <a:xfrm>
              <a:off x="3076575" y="3276600"/>
              <a:ext cx="2298514"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𝐵𝑀</m:t>
                      </m:r>
                    </m:sub>
                  </m:sSub>
                  <m:r>
                    <a:rPr lang="de-DE" sz="1600" b="0" i="1">
                      <a:latin typeface="Cambria Math"/>
                      <a:ea typeface="Cambria Math" pitchFamily="18" charset="0"/>
                    </a:rPr>
                    <m:t>=0,01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8" name="Textfeld 7"/>
            <xdr:cNvSpPr txBox="1"/>
          </xdr:nvSpPr>
          <xdr:spPr>
            <a:xfrm>
              <a:off x="3076575" y="3276600"/>
              <a:ext cx="2298514"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𝑋_(𝑃,𝐵𝑀)=0,01 ∗</a:t>
              </a:r>
              <a:r>
                <a:rPr lang="de-DE" sz="1600" b="0" i="0">
                  <a:latin typeface="Cambria Math" pitchFamily="18" charset="0"/>
                  <a:ea typeface="Cambria Math" pitchFamily="18" charset="0"/>
                </a:rPr>
                <a:t> </a:t>
              </a:r>
              <a:r>
                <a:rPr lang="de-DE" sz="1600" b="0" i="0">
                  <a:latin typeface="Cambria Math"/>
                  <a:ea typeface="Cambria Math" pitchFamily="18" charset="0"/>
                </a:rPr>
                <a:t>𝐶_(𝐵𝑆𝐵,𝑍𝐵)</a:t>
              </a:r>
              <a:r>
                <a:rPr lang="de-DE" sz="1600">
                  <a:latin typeface="Cambria Math" pitchFamily="18" charset="0"/>
                  <a:ea typeface="Cambria Math" pitchFamily="18" charset="0"/>
                </a:rPr>
                <a:t> </a:t>
              </a:r>
            </a:p>
          </xdr:txBody>
        </xdr:sp>
      </mc:Fallback>
    </mc:AlternateContent>
    <xdr:clientData/>
  </xdr:oneCellAnchor>
  <xdr:oneCellAnchor>
    <xdr:from>
      <xdr:col>2</xdr:col>
      <xdr:colOff>152400</xdr:colOff>
      <xdr:row>5</xdr:row>
      <xdr:rowOff>95250</xdr:rowOff>
    </xdr:from>
    <xdr:ext cx="3123356" cy="349326"/>
    <mc:AlternateContent xmlns:mc="http://schemas.openxmlformats.org/markup-compatibility/2006" xmlns:a14="http://schemas.microsoft.com/office/drawing/2010/main">
      <mc:Choice Requires="a14">
        <xdr:sp macro="" textlink="">
          <xdr:nvSpPr>
            <xdr:cNvPr id="9" name="Textfeld 8">
              <a:extLst>
                <a:ext uri="{FF2B5EF4-FFF2-40B4-BE49-F238E27FC236}">
                  <a16:creationId xmlns:a16="http://schemas.microsoft.com/office/drawing/2014/main" id="{00000000-0008-0000-0D00-000009000000}"/>
                </a:ext>
              </a:extLst>
            </xdr:cNvPr>
            <xdr:cNvSpPr txBox="1"/>
          </xdr:nvSpPr>
          <xdr:spPr>
            <a:xfrm>
              <a:off x="3076575" y="3133725"/>
              <a:ext cx="3123356"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𝐵𝑖𝑜𝑃</m:t>
                      </m:r>
                    </m:sub>
                  </m:sSub>
                  <m:r>
                    <a:rPr lang="de-DE" sz="1600" b="0" i="1">
                      <a:latin typeface="Cambria Math"/>
                      <a:ea typeface="Cambria Math" pitchFamily="18" charset="0"/>
                    </a:rPr>
                    <m:t>=0,01…0,015 ∗</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9" name="Textfeld 8"/>
            <xdr:cNvSpPr txBox="1"/>
          </xdr:nvSpPr>
          <xdr:spPr>
            <a:xfrm>
              <a:off x="3076575" y="3133725"/>
              <a:ext cx="3123356"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𝑋_(𝑃,𝐵𝑖𝑜𝑃)=0,01…0,015 ∗</a:t>
              </a:r>
              <a:r>
                <a:rPr lang="de-DE" sz="1600" b="0" i="0">
                  <a:latin typeface="Cambria Math" pitchFamily="18" charset="0"/>
                  <a:ea typeface="Cambria Math" pitchFamily="18" charset="0"/>
                </a:rPr>
                <a:t> </a:t>
              </a:r>
              <a:r>
                <a:rPr lang="de-DE" sz="1600" b="0" i="0">
                  <a:latin typeface="Cambria Math"/>
                  <a:ea typeface="Cambria Math" pitchFamily="18" charset="0"/>
                </a:rPr>
                <a:t>𝐶_(𝐵𝑆𝐵,𝑍𝐵)</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152400</xdr:colOff>
      <xdr:row>6</xdr:row>
      <xdr:rowOff>114300</xdr:rowOff>
    </xdr:from>
    <xdr:to>
      <xdr:col>2</xdr:col>
      <xdr:colOff>5057775</xdr:colOff>
      <xdr:row>6</xdr:row>
      <xdr:rowOff>1171575</xdr:rowOff>
    </xdr:to>
    <xdr:pic>
      <xdr:nvPicPr>
        <xdr:cNvPr id="10" name="Grafik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3914775"/>
          <a:ext cx="4905375" cy="10572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400051</xdr:colOff>
      <xdr:row>4</xdr:row>
      <xdr:rowOff>133349</xdr:rowOff>
    </xdr:from>
    <xdr:to>
      <xdr:col>2</xdr:col>
      <xdr:colOff>4733925</xdr:colOff>
      <xdr:row>4</xdr:row>
      <xdr:rowOff>2867024</xdr:rowOff>
    </xdr:to>
    <xdr:grpSp>
      <xdr:nvGrpSpPr>
        <xdr:cNvPr id="2" name="Gruppieren 12">
          <a:extLst>
            <a:ext uri="{FF2B5EF4-FFF2-40B4-BE49-F238E27FC236}">
              <a16:creationId xmlns:a16="http://schemas.microsoft.com/office/drawing/2014/main" id="{00000000-0008-0000-0E00-000002000000}"/>
            </a:ext>
          </a:extLst>
        </xdr:cNvPr>
        <xdr:cNvGrpSpPr>
          <a:grpSpLocks/>
        </xdr:cNvGrpSpPr>
      </xdr:nvGrpSpPr>
      <xdr:grpSpPr bwMode="auto">
        <a:xfrm>
          <a:off x="3324226" y="4333874"/>
          <a:ext cx="4333874" cy="2733675"/>
          <a:chOff x="8943975" y="7753350"/>
          <a:chExt cx="5324475" cy="3438525"/>
        </a:xfrm>
        <a:effectLst>
          <a:glow rad="101600">
            <a:schemeClr val="accent3">
              <a:satMod val="175000"/>
              <a:alpha val="40000"/>
            </a:schemeClr>
          </a:glow>
        </a:effectLst>
      </xdr:grpSpPr>
      <xdr:grpSp>
        <xdr:nvGrpSpPr>
          <xdr:cNvPr id="3" name="Gruppieren 10">
            <a:extLst>
              <a:ext uri="{FF2B5EF4-FFF2-40B4-BE49-F238E27FC236}">
                <a16:creationId xmlns:a16="http://schemas.microsoft.com/office/drawing/2014/main" id="{00000000-0008-0000-0E00-000003000000}"/>
              </a:ext>
            </a:extLst>
          </xdr:cNvPr>
          <xdr:cNvGrpSpPr>
            <a:grpSpLocks/>
          </xdr:cNvGrpSpPr>
        </xdr:nvGrpSpPr>
        <xdr:grpSpPr bwMode="auto">
          <a:xfrm>
            <a:off x="8972550" y="8258175"/>
            <a:ext cx="4495800" cy="2933700"/>
            <a:chOff x="8972550" y="7258050"/>
            <a:chExt cx="4495800" cy="2933700"/>
          </a:xfrm>
        </xdr:grpSpPr>
        <xdr:pic>
          <xdr:nvPicPr>
            <xdr:cNvPr id="5" name="Picture 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8401050"/>
              <a:ext cx="44481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2">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7258050"/>
              <a:ext cx="44862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7753350"/>
            <a:ext cx="5324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4</xdr:col>
      <xdr:colOff>400050</xdr:colOff>
      <xdr:row>4</xdr:row>
      <xdr:rowOff>2755315</xdr:rowOff>
    </xdr:from>
    <xdr:ext cx="3943350" cy="1388059"/>
    <xdr:pic>
      <xdr:nvPicPr>
        <xdr:cNvPr id="7" name="Grafik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72675" y="5003215"/>
          <a:ext cx="3943350" cy="1388059"/>
        </a:xfrm>
        <a:prstGeom prst="rect">
          <a:avLst/>
        </a:prstGeom>
        <a:noFill/>
        <a:effectLst>
          <a:glow rad="228600">
            <a:schemeClr val="accent2">
              <a:satMod val="175000"/>
              <a:alpha val="40000"/>
            </a:schemeClr>
          </a:glow>
        </a:effectLst>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400051</xdr:colOff>
      <xdr:row>3</xdr:row>
      <xdr:rowOff>600075</xdr:rowOff>
    </xdr:from>
    <xdr:ext cx="4124325" cy="504825"/>
    <xdr:pic>
      <xdr:nvPicPr>
        <xdr:cNvPr id="8" name="Picture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24226" y="1104900"/>
          <a:ext cx="4124325" cy="504825"/>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295275</xdr:colOff>
      <xdr:row>7</xdr:row>
      <xdr:rowOff>133350</xdr:rowOff>
    </xdr:from>
    <xdr:to>
      <xdr:col>2</xdr:col>
      <xdr:colOff>3762375</xdr:colOff>
      <xdr:row>7</xdr:row>
      <xdr:rowOff>857250</xdr:rowOff>
    </xdr:to>
    <xdr:pic>
      <xdr:nvPicPr>
        <xdr:cNvPr id="9" name="Picture 2">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19450" y="8086725"/>
          <a:ext cx="3467100"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xdr:row>
      <xdr:rowOff>190500</xdr:rowOff>
    </xdr:from>
    <xdr:to>
      <xdr:col>2</xdr:col>
      <xdr:colOff>3515540</xdr:colOff>
      <xdr:row>8</xdr:row>
      <xdr:rowOff>857251</xdr:rowOff>
    </xdr:to>
    <xdr:pic>
      <xdr:nvPicPr>
        <xdr:cNvPr id="10" name="Grafik 9">
          <a:extLst>
            <a:ext uri="{FF2B5EF4-FFF2-40B4-BE49-F238E27FC236}">
              <a16:creationId xmlns:a16="http://schemas.microsoft.com/office/drawing/2014/main" id="{00000000-0008-0000-0E00-00000A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813" b="18749"/>
        <a:stretch/>
      </xdr:blipFill>
      <xdr:spPr bwMode="auto">
        <a:xfrm>
          <a:off x="3219450" y="9153525"/>
          <a:ext cx="3220265" cy="666751"/>
        </a:xfrm>
        <a:prstGeom prst="rect">
          <a:avLst/>
        </a:prstGeom>
        <a:noFill/>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400051</xdr:colOff>
      <xdr:row>4</xdr:row>
      <xdr:rowOff>133349</xdr:rowOff>
    </xdr:from>
    <xdr:to>
      <xdr:col>2</xdr:col>
      <xdr:colOff>4733925</xdr:colOff>
      <xdr:row>4</xdr:row>
      <xdr:rowOff>2867024</xdr:rowOff>
    </xdr:to>
    <xdr:grpSp>
      <xdr:nvGrpSpPr>
        <xdr:cNvPr id="3" name="Gruppieren 12">
          <a:extLst>
            <a:ext uri="{FF2B5EF4-FFF2-40B4-BE49-F238E27FC236}">
              <a16:creationId xmlns:a16="http://schemas.microsoft.com/office/drawing/2014/main" id="{00000000-0008-0000-0F00-000003000000}"/>
            </a:ext>
          </a:extLst>
        </xdr:cNvPr>
        <xdr:cNvGrpSpPr>
          <a:grpSpLocks/>
        </xdr:cNvGrpSpPr>
      </xdr:nvGrpSpPr>
      <xdr:grpSpPr bwMode="auto">
        <a:xfrm>
          <a:off x="3324226" y="4333874"/>
          <a:ext cx="4333874" cy="2733675"/>
          <a:chOff x="8943975" y="7753350"/>
          <a:chExt cx="5324475" cy="3438525"/>
        </a:xfrm>
        <a:effectLst>
          <a:glow rad="101600">
            <a:schemeClr val="accent3">
              <a:satMod val="175000"/>
              <a:alpha val="40000"/>
            </a:schemeClr>
          </a:glow>
        </a:effectLst>
      </xdr:grpSpPr>
      <xdr:grpSp>
        <xdr:nvGrpSpPr>
          <xdr:cNvPr id="4" name="Gruppieren 10">
            <a:extLst>
              <a:ext uri="{FF2B5EF4-FFF2-40B4-BE49-F238E27FC236}">
                <a16:creationId xmlns:a16="http://schemas.microsoft.com/office/drawing/2014/main" id="{00000000-0008-0000-0F00-000004000000}"/>
              </a:ext>
            </a:extLst>
          </xdr:cNvPr>
          <xdr:cNvGrpSpPr>
            <a:grpSpLocks/>
          </xdr:cNvGrpSpPr>
        </xdr:nvGrpSpPr>
        <xdr:grpSpPr bwMode="auto">
          <a:xfrm>
            <a:off x="8972550" y="8258175"/>
            <a:ext cx="4495800" cy="2933700"/>
            <a:chOff x="8972550" y="7258050"/>
            <a:chExt cx="4495800" cy="2933700"/>
          </a:xfrm>
        </xdr:grpSpPr>
        <xdr:pic>
          <xdr:nvPicPr>
            <xdr:cNvPr id="6" name="Picture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8401050"/>
              <a:ext cx="44481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82075" y="7258050"/>
              <a:ext cx="44862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 name="Picture 3">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5" y="7753350"/>
            <a:ext cx="5324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2</xdr:col>
      <xdr:colOff>400051</xdr:colOff>
      <xdr:row>3</xdr:row>
      <xdr:rowOff>600075</xdr:rowOff>
    </xdr:from>
    <xdr:ext cx="4124325" cy="504825"/>
    <xdr:pic>
      <xdr:nvPicPr>
        <xdr:cNvPr id="9" name="Picture 1">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33751" y="1114425"/>
          <a:ext cx="4124325" cy="504825"/>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295275</xdr:colOff>
      <xdr:row>7</xdr:row>
      <xdr:rowOff>133350</xdr:rowOff>
    </xdr:from>
    <xdr:to>
      <xdr:col>2</xdr:col>
      <xdr:colOff>3762375</xdr:colOff>
      <xdr:row>7</xdr:row>
      <xdr:rowOff>857250</xdr:rowOff>
    </xdr:to>
    <xdr:pic>
      <xdr:nvPicPr>
        <xdr:cNvPr id="11" name="Picture 2">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19450" y="7829550"/>
          <a:ext cx="3467100"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xdr:row>
      <xdr:rowOff>190500</xdr:rowOff>
    </xdr:from>
    <xdr:to>
      <xdr:col>2</xdr:col>
      <xdr:colOff>3515540</xdr:colOff>
      <xdr:row>8</xdr:row>
      <xdr:rowOff>857251</xdr:rowOff>
    </xdr:to>
    <xdr:pic>
      <xdr:nvPicPr>
        <xdr:cNvPr id="12" name="Grafik 11">
          <a:extLst>
            <a:ext uri="{FF2B5EF4-FFF2-40B4-BE49-F238E27FC236}">
              <a16:creationId xmlns:a16="http://schemas.microsoft.com/office/drawing/2014/main" id="{00000000-0008-0000-0F00-00000C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7813" b="18749"/>
        <a:stretch/>
      </xdr:blipFill>
      <xdr:spPr bwMode="auto">
        <a:xfrm>
          <a:off x="3219450" y="8896350"/>
          <a:ext cx="3220265" cy="666751"/>
        </a:xfrm>
        <a:prstGeom prst="rect">
          <a:avLst/>
        </a:prstGeom>
        <a:noFill/>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219075</xdr:colOff>
      <xdr:row>2</xdr:row>
      <xdr:rowOff>173973</xdr:rowOff>
    </xdr:from>
    <xdr:to>
      <xdr:col>2</xdr:col>
      <xdr:colOff>4899075</xdr:colOff>
      <xdr:row>2</xdr:row>
      <xdr:rowOff>3591901</xdr:rowOff>
    </xdr:to>
    <xdr:grpSp>
      <xdr:nvGrpSpPr>
        <xdr:cNvPr id="2" name="Gruppieren 1">
          <a:extLst>
            <a:ext uri="{FF2B5EF4-FFF2-40B4-BE49-F238E27FC236}">
              <a16:creationId xmlns:a16="http://schemas.microsoft.com/office/drawing/2014/main" id="{00000000-0008-0000-1000-000002000000}"/>
            </a:ext>
          </a:extLst>
        </xdr:cNvPr>
        <xdr:cNvGrpSpPr/>
      </xdr:nvGrpSpPr>
      <xdr:grpSpPr>
        <a:xfrm>
          <a:off x="3228975" y="1440798"/>
          <a:ext cx="4680000" cy="3417928"/>
          <a:chOff x="3143250" y="1164573"/>
          <a:chExt cx="4680000" cy="3417928"/>
        </a:xfrm>
        <a:effectLst>
          <a:glow rad="139700">
            <a:schemeClr val="accent3">
              <a:satMod val="175000"/>
              <a:alpha val="40000"/>
            </a:schemeClr>
          </a:glow>
        </a:effectLst>
      </xdr:grpSpPr>
      <xdr:pic>
        <xdr:nvPicPr>
          <xdr:cNvPr id="3" name="Grafik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164573"/>
            <a:ext cx="4680000" cy="6071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3143250" y="1781196"/>
            <a:ext cx="4680000" cy="2801305"/>
          </a:xfrm>
          <a:prstGeom prst="rect">
            <a:avLst/>
          </a:prstGeom>
        </xdr:spPr>
      </xdr:pic>
    </xdr:grpSp>
    <xdr:clientData/>
  </xdr:twoCellAnchor>
  <xdr:twoCellAnchor editAs="oneCell">
    <xdr:from>
      <xdr:col>4</xdr:col>
      <xdr:colOff>95250</xdr:colOff>
      <xdr:row>2</xdr:row>
      <xdr:rowOff>116823</xdr:rowOff>
    </xdr:from>
    <xdr:to>
      <xdr:col>4</xdr:col>
      <xdr:colOff>5495925</xdr:colOff>
      <xdr:row>2</xdr:row>
      <xdr:rowOff>1336023</xdr:rowOff>
    </xdr:to>
    <xdr:pic>
      <xdr:nvPicPr>
        <xdr:cNvPr id="5" name="Grafik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53600" y="1383648"/>
          <a:ext cx="54006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219075</xdr:colOff>
      <xdr:row>3</xdr:row>
      <xdr:rowOff>76200</xdr:rowOff>
    </xdr:from>
    <xdr:ext cx="1563570" cy="615361"/>
    <mc:AlternateContent xmlns:mc="http://schemas.openxmlformats.org/markup-compatibility/2006" xmlns:a14="http://schemas.microsoft.com/office/drawing/2010/main">
      <mc:Choice Requires="a14">
        <xdr:sp macro="" textlink="">
          <xdr:nvSpPr>
            <xdr:cNvPr id="6" name="Textfeld 5">
              <a:extLst>
                <a:ext uri="{FF2B5EF4-FFF2-40B4-BE49-F238E27FC236}">
                  <a16:creationId xmlns:a16="http://schemas.microsoft.com/office/drawing/2014/main" id="{00000000-0008-0000-1000-000006000000}"/>
                </a:ext>
              </a:extLst>
            </xdr:cNvPr>
            <xdr:cNvSpPr txBox="1"/>
          </xdr:nvSpPr>
          <xdr:spPr>
            <a:xfrm>
              <a:off x="3228975" y="5153025"/>
              <a:ext cx="1563570" cy="61536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f>
                      <m:fPr>
                        <m:ctrlPr>
                          <a:rPr lang="de-DE" sz="1600" i="1">
                            <a:latin typeface="Cambria Math" panose="02040503050406030204" pitchFamily="18" charset="0"/>
                            <a:ea typeface="Cambria Math" pitchFamily="18" charset="0"/>
                          </a:rPr>
                        </m:ctrlPr>
                      </m:fPr>
                      <m:num>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sub>
                        </m:sSub>
                      </m:num>
                      <m:den>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den>
                    </m:f>
                    <m:r>
                      <a:rPr lang="de-DE" sz="1600" b="0" i="1">
                        <a:latin typeface="Cambria Math"/>
                        <a:ea typeface="Cambria Math" pitchFamily="18" charset="0"/>
                      </a:rPr>
                      <m:t> </m:t>
                    </m:r>
                    <m:r>
                      <a:rPr lang="de-DE" sz="1600" b="0" i="1">
                        <a:latin typeface="Cambria Math"/>
                        <a:ea typeface="Cambria Math"/>
                      </a:rPr>
                      <m:t>≤0,15</m:t>
                    </m:r>
                  </m:oMath>
                </m:oMathPara>
              </a14:m>
              <a:endParaRPr lang="de-DE" sz="1600">
                <a:latin typeface="Cambria Math" pitchFamily="18" charset="0"/>
                <a:ea typeface="Cambria Math" pitchFamily="18" charset="0"/>
              </a:endParaRPr>
            </a:p>
          </xdr:txBody>
        </xdr:sp>
      </mc:Choice>
      <mc:Fallback xmlns="">
        <xdr:sp macro="" textlink="">
          <xdr:nvSpPr>
            <xdr:cNvPr id="6" name="Textfeld 5"/>
            <xdr:cNvSpPr txBox="1"/>
          </xdr:nvSpPr>
          <xdr:spPr>
            <a:xfrm>
              <a:off x="3228975" y="5153025"/>
              <a:ext cx="1563570" cy="61536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𝑆_(𝑁𝑂3,𝐷)/𝐶_(𝐵𝑆𝐵,𝑍𝐵)   </a:t>
              </a:r>
              <a:r>
                <a:rPr lang="de-DE" sz="1600" b="0" i="0">
                  <a:latin typeface="Cambria Math"/>
                  <a:ea typeface="Cambria Math"/>
                </a:rPr>
                <a:t>≤0,15</a:t>
              </a:r>
              <a:endParaRPr lang="de-DE" sz="1600">
                <a:latin typeface="Cambria Math" pitchFamily="18" charset="0"/>
                <a:ea typeface="Cambria Math" pitchFamily="18" charset="0"/>
              </a:endParaRPr>
            </a:p>
          </xdr:txBody>
        </xdr:sp>
      </mc:Fallback>
    </mc:AlternateContent>
    <xdr:clientData/>
  </xdr:oneCellAnchor>
  <xdr:oneCellAnchor>
    <xdr:from>
      <xdr:col>2</xdr:col>
      <xdr:colOff>219075</xdr:colOff>
      <xdr:row>6</xdr:row>
      <xdr:rowOff>114300</xdr:rowOff>
    </xdr:from>
    <xdr:ext cx="2610266" cy="554960"/>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3228975" y="7477125"/>
              <a:ext cx="2610266" cy="55496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𝐵</m:t>
                        </m:r>
                      </m:e>
                      <m:sub>
                        <m:r>
                          <a:rPr lang="de-DE" sz="1600" b="0" i="1">
                            <a:latin typeface="Cambria Math"/>
                            <a:ea typeface="Cambria Math" pitchFamily="18" charset="0"/>
                          </a:rPr>
                          <m:t>𝑑</m:t>
                        </m:r>
                        <m:r>
                          <a:rPr lang="de-DE" sz="1600" b="0" i="1">
                            <a:latin typeface="Cambria Math"/>
                            <a:ea typeface="Cambria Math" pitchFamily="18" charset="0"/>
                          </a:rPr>
                          <m:t>,</m:t>
                        </m:r>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𝐷𝑜𝑠</m:t>
                        </m:r>
                      </m:sub>
                    </m:sSub>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𝐶𝑆𝐵</m:t>
                            </m:r>
                            <m:r>
                              <a:rPr lang="de-DE" sz="1600" b="0" i="1">
                                <a:latin typeface="Cambria Math"/>
                                <a:ea typeface="Cambria Math" pitchFamily="18" charset="0"/>
                              </a:rPr>
                              <m:t>,</m:t>
                            </m:r>
                            <m:r>
                              <a:rPr lang="de-DE" sz="1600" b="0" i="1">
                                <a:latin typeface="Cambria Math"/>
                                <a:ea typeface="Cambria Math" pitchFamily="18" charset="0"/>
                              </a:rPr>
                              <m:t>𝐷𝑜𝑠</m:t>
                            </m:r>
                          </m:sub>
                        </m:sSub>
                      </m:num>
                      <m:den>
                        <m:r>
                          <a:rPr lang="de-DE" sz="1600" b="0" i="1">
                            <a:latin typeface="Cambria Math"/>
                            <a:ea typeface="Cambria Math" pitchFamily="18" charset="0"/>
                          </a:rPr>
                          <m:t>1000</m:t>
                        </m:r>
                      </m:den>
                    </m:f>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𝑑</m:t>
                        </m:r>
                      </m:sub>
                    </m:sSub>
                  </m:oMath>
                </m:oMathPara>
              </a14:m>
              <a:endParaRPr lang="de-DE" sz="1600">
                <a:latin typeface="Cambria Math" pitchFamily="18" charset="0"/>
                <a:ea typeface="Cambria Math" pitchFamily="18" charset="0"/>
              </a:endParaRPr>
            </a:p>
          </xdr:txBody>
        </xdr:sp>
      </mc:Choice>
      <mc:Fallback xmlns="">
        <xdr:sp macro="" textlink="">
          <xdr:nvSpPr>
            <xdr:cNvPr id="7" name="Textfeld 6"/>
            <xdr:cNvSpPr txBox="1"/>
          </xdr:nvSpPr>
          <xdr:spPr>
            <a:xfrm>
              <a:off x="3228975" y="7477125"/>
              <a:ext cx="2610266" cy="55496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𝐵_(𝑑,𝐵𝑆𝐵,𝐷𝑜𝑠)=  𝑆_(𝐶𝑆𝐵,𝐷𝑜𝑠)/1000  ∗ 𝑄_𝑑</a:t>
              </a:r>
              <a:endParaRPr lang="de-DE" sz="1600">
                <a:latin typeface="Cambria Math" pitchFamily="18" charset="0"/>
                <a:ea typeface="Cambria Math" pitchFamily="18" charset="0"/>
              </a:endParaRPr>
            </a:p>
          </xdr:txBody>
        </xdr:sp>
      </mc:Fallback>
    </mc:AlternateContent>
    <xdr:clientData/>
  </xdr:oneCellAnchor>
  <xdr:twoCellAnchor>
    <xdr:from>
      <xdr:col>2</xdr:col>
      <xdr:colOff>219076</xdr:colOff>
      <xdr:row>7</xdr:row>
      <xdr:rowOff>114300</xdr:rowOff>
    </xdr:from>
    <xdr:to>
      <xdr:col>2</xdr:col>
      <xdr:colOff>4981576</xdr:colOff>
      <xdr:row>8</xdr:row>
      <xdr:rowOff>904875</xdr:rowOff>
    </xdr:to>
    <xdr:grpSp>
      <xdr:nvGrpSpPr>
        <xdr:cNvPr id="8" name="Gruppieren 7">
          <a:extLst>
            <a:ext uri="{FF2B5EF4-FFF2-40B4-BE49-F238E27FC236}">
              <a16:creationId xmlns:a16="http://schemas.microsoft.com/office/drawing/2014/main" id="{00000000-0008-0000-1000-000008000000}"/>
            </a:ext>
          </a:extLst>
        </xdr:cNvPr>
        <xdr:cNvGrpSpPr/>
      </xdr:nvGrpSpPr>
      <xdr:grpSpPr>
        <a:xfrm>
          <a:off x="3228976" y="8239125"/>
          <a:ext cx="4762500" cy="1800225"/>
          <a:chOff x="3248025" y="7400925"/>
          <a:chExt cx="4219575" cy="1285875"/>
        </a:xfrm>
        <a:effectLst>
          <a:glow rad="139700">
            <a:schemeClr val="accent3">
              <a:satMod val="175000"/>
              <a:alpha val="40000"/>
            </a:schemeClr>
          </a:glow>
        </a:effectLst>
      </xdr:grpSpPr>
      <xdr:pic>
        <xdr:nvPicPr>
          <xdr:cNvPr id="9" name="Grafik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48025" y="7400925"/>
            <a:ext cx="3762375" cy="209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Grafik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48025" y="7610475"/>
            <a:ext cx="4219575" cy="10763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2</xdr:col>
      <xdr:colOff>219075</xdr:colOff>
      <xdr:row>4</xdr:row>
      <xdr:rowOff>209550</xdr:rowOff>
    </xdr:from>
    <xdr:ext cx="3526735" cy="349326"/>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00000000-0008-0000-1000-00000B000000}"/>
                </a:ext>
              </a:extLst>
            </xdr:cNvPr>
            <xdr:cNvSpPr txBox="1"/>
          </xdr:nvSpPr>
          <xdr:spPr>
            <a:xfrm>
              <a:off x="3228975" y="6048375"/>
              <a:ext cx="3526735"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r>
                          <a:rPr lang="de-DE" sz="1600" b="0" i="1">
                            <a:latin typeface="Cambria Math"/>
                            <a:ea typeface="Cambria Math" pitchFamily="18" charset="0"/>
                          </a:rPr>
                          <m:t>,</m:t>
                        </m:r>
                        <m:r>
                          <a:rPr lang="de-DE" sz="1600" b="0" i="1">
                            <a:latin typeface="Cambria Math"/>
                            <a:ea typeface="Cambria Math" pitchFamily="18" charset="0"/>
                          </a:rPr>
                          <m:t>𝐸𝑥𝑡</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sub>
                    </m:sSub>
                    <m:r>
                      <a:rPr lang="de-DE" sz="1600" b="0" i="1">
                        <a:latin typeface="Cambria Math"/>
                        <a:ea typeface="Cambria Math" pitchFamily="18" charset="0"/>
                      </a:rPr>
                      <m:t> −0,15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oMath>
                </m:oMathPara>
              </a14:m>
              <a:endParaRPr lang="de-DE" sz="1600">
                <a:latin typeface="Cambria Math" pitchFamily="18" charset="0"/>
                <a:ea typeface="Cambria Math" pitchFamily="18" charset="0"/>
              </a:endParaRPr>
            </a:p>
          </xdr:txBody>
        </xdr:sp>
      </mc:Choice>
      <mc:Fallback xmlns="">
        <xdr:sp macro="" textlink="">
          <xdr:nvSpPr>
            <xdr:cNvPr id="11" name="Textfeld 10"/>
            <xdr:cNvSpPr txBox="1"/>
          </xdr:nvSpPr>
          <xdr:spPr>
            <a:xfrm>
              <a:off x="3228975" y="6048375"/>
              <a:ext cx="3526735"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𝑆_(𝑁𝑂3,𝐷,𝐸𝑥𝑡)= 𝑆_(𝑁𝑂3,𝐷)  −0,15 ∗ 𝐶_(𝐵𝑆𝐵,𝑍𝐵)</a:t>
              </a:r>
              <a:endParaRPr lang="de-DE" sz="1600">
                <a:latin typeface="Cambria Math" pitchFamily="18" charset="0"/>
                <a:ea typeface="Cambria Math" pitchFamily="18" charset="0"/>
              </a:endParaRPr>
            </a:p>
          </xdr:txBody>
        </xdr:sp>
      </mc:Fallback>
    </mc:AlternateContent>
    <xdr:clientData/>
  </xdr:oneCellAnchor>
  <xdr:twoCellAnchor editAs="oneCell">
    <xdr:from>
      <xdr:col>2</xdr:col>
      <xdr:colOff>219074</xdr:colOff>
      <xdr:row>5</xdr:row>
      <xdr:rowOff>142875</xdr:rowOff>
    </xdr:from>
    <xdr:to>
      <xdr:col>2</xdr:col>
      <xdr:colOff>2552185</xdr:colOff>
      <xdr:row>5</xdr:row>
      <xdr:rowOff>647700</xdr:rowOff>
    </xdr:to>
    <xdr:pic>
      <xdr:nvPicPr>
        <xdr:cNvPr id="12" name="Grafik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4" y="6743700"/>
          <a:ext cx="2333111" cy="5048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219075</xdr:colOff>
      <xdr:row>2</xdr:row>
      <xdr:rowOff>173973</xdr:rowOff>
    </xdr:from>
    <xdr:to>
      <xdr:col>2</xdr:col>
      <xdr:colOff>4899075</xdr:colOff>
      <xdr:row>2</xdr:row>
      <xdr:rowOff>3591901</xdr:rowOff>
    </xdr:to>
    <xdr:grpSp>
      <xdr:nvGrpSpPr>
        <xdr:cNvPr id="2" name="Gruppieren 1">
          <a:extLst>
            <a:ext uri="{FF2B5EF4-FFF2-40B4-BE49-F238E27FC236}">
              <a16:creationId xmlns:a16="http://schemas.microsoft.com/office/drawing/2014/main" id="{00000000-0008-0000-1100-000002000000}"/>
            </a:ext>
          </a:extLst>
        </xdr:cNvPr>
        <xdr:cNvGrpSpPr/>
      </xdr:nvGrpSpPr>
      <xdr:grpSpPr>
        <a:xfrm>
          <a:off x="3228975" y="1440798"/>
          <a:ext cx="4680000" cy="3417928"/>
          <a:chOff x="3143250" y="1164573"/>
          <a:chExt cx="4680000" cy="3417928"/>
        </a:xfrm>
        <a:effectLst>
          <a:glow rad="139700">
            <a:schemeClr val="accent3">
              <a:satMod val="175000"/>
              <a:alpha val="40000"/>
            </a:schemeClr>
          </a:glow>
        </a:effectLst>
      </xdr:grpSpPr>
      <xdr:pic>
        <xdr:nvPicPr>
          <xdr:cNvPr id="3" name="Grafik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164573"/>
            <a:ext cx="4680000" cy="6071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3143250" y="1781196"/>
            <a:ext cx="4680000" cy="2801305"/>
          </a:xfrm>
          <a:prstGeom prst="rect">
            <a:avLst/>
          </a:prstGeom>
        </xdr:spPr>
      </xdr:pic>
    </xdr:grpSp>
    <xdr:clientData/>
  </xdr:twoCellAnchor>
  <xdr:twoCellAnchor editAs="oneCell">
    <xdr:from>
      <xdr:col>4</xdr:col>
      <xdr:colOff>95250</xdr:colOff>
      <xdr:row>2</xdr:row>
      <xdr:rowOff>116823</xdr:rowOff>
    </xdr:from>
    <xdr:to>
      <xdr:col>4</xdr:col>
      <xdr:colOff>5495925</xdr:colOff>
      <xdr:row>2</xdr:row>
      <xdr:rowOff>1336023</xdr:rowOff>
    </xdr:to>
    <xdr:pic>
      <xdr:nvPicPr>
        <xdr:cNvPr id="5" name="Grafik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53600" y="1164573"/>
          <a:ext cx="54006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219075</xdr:colOff>
      <xdr:row>3</xdr:row>
      <xdr:rowOff>76200</xdr:rowOff>
    </xdr:from>
    <xdr:ext cx="1563570" cy="615361"/>
    <mc:AlternateContent xmlns:mc="http://schemas.openxmlformats.org/markup-compatibility/2006" xmlns:a14="http://schemas.microsoft.com/office/drawing/2010/main">
      <mc:Choice Requires="a14">
        <xdr:sp macro="" textlink="">
          <xdr:nvSpPr>
            <xdr:cNvPr id="6" name="Textfeld 5">
              <a:extLst>
                <a:ext uri="{FF2B5EF4-FFF2-40B4-BE49-F238E27FC236}">
                  <a16:creationId xmlns:a16="http://schemas.microsoft.com/office/drawing/2014/main" id="{00000000-0008-0000-1100-000006000000}"/>
                </a:ext>
              </a:extLst>
            </xdr:cNvPr>
            <xdr:cNvSpPr txBox="1"/>
          </xdr:nvSpPr>
          <xdr:spPr>
            <a:xfrm>
              <a:off x="3228975" y="4391025"/>
              <a:ext cx="1563570" cy="61536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f>
                      <m:fPr>
                        <m:ctrlPr>
                          <a:rPr lang="de-DE" sz="1600" i="1">
                            <a:latin typeface="Cambria Math" panose="02040503050406030204" pitchFamily="18" charset="0"/>
                            <a:ea typeface="Cambria Math" pitchFamily="18" charset="0"/>
                          </a:rPr>
                        </m:ctrlPr>
                      </m:fPr>
                      <m:num>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sub>
                        </m:sSub>
                      </m:num>
                      <m:den>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den>
                    </m:f>
                    <m:r>
                      <a:rPr lang="de-DE" sz="1600" b="0" i="1">
                        <a:latin typeface="Cambria Math"/>
                        <a:ea typeface="Cambria Math" pitchFamily="18" charset="0"/>
                      </a:rPr>
                      <m:t> </m:t>
                    </m:r>
                    <m:r>
                      <a:rPr lang="de-DE" sz="1600" b="0" i="1">
                        <a:latin typeface="Cambria Math"/>
                        <a:ea typeface="Cambria Math"/>
                      </a:rPr>
                      <m:t>≤0,15</m:t>
                    </m:r>
                  </m:oMath>
                </m:oMathPara>
              </a14:m>
              <a:endParaRPr lang="de-DE" sz="1600">
                <a:latin typeface="Cambria Math" pitchFamily="18" charset="0"/>
                <a:ea typeface="Cambria Math" pitchFamily="18" charset="0"/>
              </a:endParaRPr>
            </a:p>
          </xdr:txBody>
        </xdr:sp>
      </mc:Choice>
      <mc:Fallback xmlns="">
        <xdr:sp macro="" textlink="">
          <xdr:nvSpPr>
            <xdr:cNvPr id="6" name="Textfeld 5"/>
            <xdr:cNvSpPr txBox="1"/>
          </xdr:nvSpPr>
          <xdr:spPr>
            <a:xfrm>
              <a:off x="3228975" y="4391025"/>
              <a:ext cx="1563570" cy="61536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𝑆_(𝑁𝑂3,𝐷)/𝐶_(𝐵𝑆𝐵,𝑍𝐵)   </a:t>
              </a:r>
              <a:r>
                <a:rPr lang="de-DE" sz="1600" b="0" i="0">
                  <a:latin typeface="Cambria Math"/>
                  <a:ea typeface="Cambria Math"/>
                </a:rPr>
                <a:t>≤0,15</a:t>
              </a:r>
              <a:endParaRPr lang="de-DE" sz="1600">
                <a:latin typeface="Cambria Math" pitchFamily="18" charset="0"/>
                <a:ea typeface="Cambria Math" pitchFamily="18" charset="0"/>
              </a:endParaRPr>
            </a:p>
          </xdr:txBody>
        </xdr:sp>
      </mc:Fallback>
    </mc:AlternateContent>
    <xdr:clientData/>
  </xdr:oneCellAnchor>
  <xdr:oneCellAnchor>
    <xdr:from>
      <xdr:col>2</xdr:col>
      <xdr:colOff>219075</xdr:colOff>
      <xdr:row>6</xdr:row>
      <xdr:rowOff>114300</xdr:rowOff>
    </xdr:from>
    <xdr:ext cx="2610266" cy="554960"/>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00000000-0008-0000-1100-00000B000000}"/>
                </a:ext>
              </a:extLst>
            </xdr:cNvPr>
            <xdr:cNvSpPr txBox="1"/>
          </xdr:nvSpPr>
          <xdr:spPr>
            <a:xfrm>
              <a:off x="3228975" y="7477125"/>
              <a:ext cx="2610266" cy="55496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𝐵</m:t>
                        </m:r>
                      </m:e>
                      <m:sub>
                        <m:r>
                          <a:rPr lang="de-DE" sz="1600" b="0" i="1">
                            <a:latin typeface="Cambria Math"/>
                            <a:ea typeface="Cambria Math" pitchFamily="18" charset="0"/>
                          </a:rPr>
                          <m:t>𝑑</m:t>
                        </m:r>
                        <m:r>
                          <a:rPr lang="de-DE" sz="1600" b="0" i="1">
                            <a:latin typeface="Cambria Math"/>
                            <a:ea typeface="Cambria Math" pitchFamily="18" charset="0"/>
                          </a:rPr>
                          <m:t>,</m:t>
                        </m:r>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𝐷𝑜𝑠</m:t>
                        </m:r>
                      </m:sub>
                    </m:sSub>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𝐶𝑆𝐵</m:t>
                            </m:r>
                            <m:r>
                              <a:rPr lang="de-DE" sz="1600" b="0" i="1">
                                <a:latin typeface="Cambria Math"/>
                                <a:ea typeface="Cambria Math" pitchFamily="18" charset="0"/>
                              </a:rPr>
                              <m:t>,</m:t>
                            </m:r>
                            <m:r>
                              <a:rPr lang="de-DE" sz="1600" b="0" i="1">
                                <a:latin typeface="Cambria Math"/>
                                <a:ea typeface="Cambria Math" pitchFamily="18" charset="0"/>
                              </a:rPr>
                              <m:t>𝐷𝑜𝑠</m:t>
                            </m:r>
                          </m:sub>
                        </m:sSub>
                      </m:num>
                      <m:den>
                        <m:r>
                          <a:rPr lang="de-DE" sz="1600" b="0" i="1">
                            <a:latin typeface="Cambria Math"/>
                            <a:ea typeface="Cambria Math" pitchFamily="18" charset="0"/>
                          </a:rPr>
                          <m:t>1000</m:t>
                        </m:r>
                      </m:den>
                    </m:f>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𝑑</m:t>
                        </m:r>
                      </m:sub>
                    </m:sSub>
                  </m:oMath>
                </m:oMathPara>
              </a14:m>
              <a:endParaRPr lang="de-DE" sz="1600">
                <a:latin typeface="Cambria Math" pitchFamily="18" charset="0"/>
                <a:ea typeface="Cambria Math" pitchFamily="18" charset="0"/>
              </a:endParaRPr>
            </a:p>
          </xdr:txBody>
        </xdr:sp>
      </mc:Choice>
      <mc:Fallback xmlns="">
        <xdr:sp macro="" textlink="">
          <xdr:nvSpPr>
            <xdr:cNvPr id="11" name="Textfeld 10"/>
            <xdr:cNvSpPr txBox="1"/>
          </xdr:nvSpPr>
          <xdr:spPr>
            <a:xfrm>
              <a:off x="3228975" y="7477125"/>
              <a:ext cx="2610266" cy="55496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𝐵_(𝑑,𝐵𝑆𝐵,𝐷𝑜𝑠)=  𝑆_(𝐶𝑆𝐵,𝐷𝑜𝑠)/1000  ∗ 𝑄_𝑑</a:t>
              </a:r>
              <a:endParaRPr lang="de-DE" sz="1600">
                <a:latin typeface="Cambria Math" pitchFamily="18" charset="0"/>
                <a:ea typeface="Cambria Math" pitchFamily="18" charset="0"/>
              </a:endParaRPr>
            </a:p>
          </xdr:txBody>
        </xdr:sp>
      </mc:Fallback>
    </mc:AlternateContent>
    <xdr:clientData/>
  </xdr:oneCellAnchor>
  <xdr:twoCellAnchor>
    <xdr:from>
      <xdr:col>2</xdr:col>
      <xdr:colOff>219076</xdr:colOff>
      <xdr:row>7</xdr:row>
      <xdr:rowOff>114300</xdr:rowOff>
    </xdr:from>
    <xdr:to>
      <xdr:col>2</xdr:col>
      <xdr:colOff>4981576</xdr:colOff>
      <xdr:row>8</xdr:row>
      <xdr:rowOff>904875</xdr:rowOff>
    </xdr:to>
    <xdr:grpSp>
      <xdr:nvGrpSpPr>
        <xdr:cNvPr id="14" name="Gruppieren 13">
          <a:extLst>
            <a:ext uri="{FF2B5EF4-FFF2-40B4-BE49-F238E27FC236}">
              <a16:creationId xmlns:a16="http://schemas.microsoft.com/office/drawing/2014/main" id="{00000000-0008-0000-1100-00000E000000}"/>
            </a:ext>
          </a:extLst>
        </xdr:cNvPr>
        <xdr:cNvGrpSpPr/>
      </xdr:nvGrpSpPr>
      <xdr:grpSpPr>
        <a:xfrm>
          <a:off x="3228976" y="8486775"/>
          <a:ext cx="4762500" cy="1800225"/>
          <a:chOff x="3248025" y="7400925"/>
          <a:chExt cx="4219575" cy="1285875"/>
        </a:xfrm>
        <a:effectLst>
          <a:glow rad="139700">
            <a:schemeClr val="accent3">
              <a:satMod val="175000"/>
              <a:alpha val="40000"/>
            </a:schemeClr>
          </a:glow>
        </a:effectLst>
      </xdr:grpSpPr>
      <xdr:pic>
        <xdr:nvPicPr>
          <xdr:cNvPr id="12" name="Grafik 1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48025" y="7400925"/>
            <a:ext cx="3762375" cy="209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Grafik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48025" y="7610475"/>
            <a:ext cx="4219575" cy="10763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2</xdr:col>
      <xdr:colOff>219075</xdr:colOff>
      <xdr:row>4</xdr:row>
      <xdr:rowOff>209550</xdr:rowOff>
    </xdr:from>
    <xdr:ext cx="3697038" cy="349326"/>
    <mc:AlternateContent xmlns:mc="http://schemas.openxmlformats.org/markup-compatibility/2006" xmlns:a14="http://schemas.microsoft.com/office/drawing/2010/main">
      <mc:Choice Requires="a14">
        <xdr:sp macro="" textlink="">
          <xdr:nvSpPr>
            <xdr:cNvPr id="15" name="Textfeld 14">
              <a:extLst>
                <a:ext uri="{FF2B5EF4-FFF2-40B4-BE49-F238E27FC236}">
                  <a16:creationId xmlns:a16="http://schemas.microsoft.com/office/drawing/2014/main" id="{00000000-0008-0000-1100-00000F000000}"/>
                </a:ext>
              </a:extLst>
            </xdr:cNvPr>
            <xdr:cNvSpPr txBox="1"/>
          </xdr:nvSpPr>
          <xdr:spPr>
            <a:xfrm>
              <a:off x="3228975" y="6048375"/>
              <a:ext cx="369703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r>
                          <a:rPr lang="de-DE" sz="1600" b="0" i="1">
                            <a:latin typeface="Cambria Math"/>
                            <a:ea typeface="Cambria Math" pitchFamily="18" charset="0"/>
                          </a:rPr>
                          <m:t>,</m:t>
                        </m:r>
                        <m:r>
                          <a:rPr lang="de-DE" sz="1600" b="0" i="1">
                            <a:latin typeface="Cambria Math"/>
                            <a:ea typeface="Cambria Math" pitchFamily="18" charset="0"/>
                          </a:rPr>
                          <m:t>𝐸𝑥𝑡</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𝑁𝑂</m:t>
                        </m:r>
                        <m:r>
                          <a:rPr lang="de-DE" sz="1600" b="0" i="1">
                            <a:latin typeface="Cambria Math"/>
                            <a:ea typeface="Cambria Math" pitchFamily="18" charset="0"/>
                          </a:rPr>
                          <m:t>3,</m:t>
                        </m:r>
                        <m:r>
                          <a:rPr lang="de-DE" sz="1600" b="0" i="1">
                            <a:latin typeface="Cambria Math"/>
                            <a:ea typeface="Cambria Math" pitchFamily="18" charset="0"/>
                          </a:rPr>
                          <m:t>𝐷</m:t>
                        </m:r>
                      </m:sub>
                    </m:sSub>
                    <m:r>
                      <a:rPr lang="de-DE" sz="1600" b="0" i="1">
                        <a:latin typeface="Cambria Math"/>
                        <a:ea typeface="Cambria Math" pitchFamily="18" charset="0"/>
                      </a:rPr>
                      <m:t> −(0,15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𝐶</m:t>
                        </m:r>
                      </m:e>
                      <m:sub>
                        <m:r>
                          <a:rPr lang="de-DE" sz="1600" b="0" i="1">
                            <a:latin typeface="Cambria Math"/>
                            <a:ea typeface="Cambria Math" pitchFamily="18" charset="0"/>
                          </a:rPr>
                          <m:t>𝐵𝑆𝐵</m:t>
                        </m:r>
                        <m:r>
                          <a:rPr lang="de-DE" sz="1600" b="0" i="1">
                            <a:latin typeface="Cambria Math"/>
                            <a:ea typeface="Cambria Math" pitchFamily="18" charset="0"/>
                          </a:rPr>
                          <m:t>,</m:t>
                        </m:r>
                        <m:r>
                          <a:rPr lang="de-DE" sz="1600" b="0" i="1">
                            <a:latin typeface="Cambria Math"/>
                            <a:ea typeface="Cambria Math" pitchFamily="18" charset="0"/>
                          </a:rPr>
                          <m:t>𝑍𝐵</m:t>
                        </m:r>
                      </m:sub>
                    </m:sSub>
                    <m:r>
                      <a:rPr lang="de-DE" sz="1600" b="0" i="1">
                        <a:latin typeface="Cambria Math"/>
                        <a:ea typeface="Cambria Math" pitchFamily="18" charset="0"/>
                      </a:rPr>
                      <m:t>)</m:t>
                    </m:r>
                  </m:oMath>
                </m:oMathPara>
              </a14:m>
              <a:endParaRPr lang="de-DE" sz="1600">
                <a:latin typeface="Cambria Math" pitchFamily="18" charset="0"/>
                <a:ea typeface="Cambria Math" pitchFamily="18" charset="0"/>
              </a:endParaRPr>
            </a:p>
          </xdr:txBody>
        </xdr:sp>
      </mc:Choice>
      <mc:Fallback xmlns="">
        <xdr:sp macro="" textlink="">
          <xdr:nvSpPr>
            <xdr:cNvPr id="15" name="Textfeld 14"/>
            <xdr:cNvSpPr txBox="1"/>
          </xdr:nvSpPr>
          <xdr:spPr>
            <a:xfrm>
              <a:off x="3228975" y="6048375"/>
              <a:ext cx="369703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ea typeface="Cambria Math" pitchFamily="18" charset="0"/>
                </a:rPr>
                <a:t>𝑆_(𝑁𝑂3,𝐷,𝐸𝑥𝑡)= 𝑆_(𝑁𝑂3,𝐷)  −(0,15 ∗ 𝐶_(𝐵𝑆𝐵,𝑍𝐵))</a:t>
              </a:r>
              <a:endParaRPr lang="de-DE" sz="1600">
                <a:latin typeface="Cambria Math" pitchFamily="18" charset="0"/>
                <a:ea typeface="Cambria Math" pitchFamily="18" charset="0"/>
              </a:endParaRPr>
            </a:p>
          </xdr:txBody>
        </xdr:sp>
      </mc:Fallback>
    </mc:AlternateContent>
    <xdr:clientData/>
  </xdr:oneCellAnchor>
  <xdr:twoCellAnchor editAs="oneCell">
    <xdr:from>
      <xdr:col>2</xdr:col>
      <xdr:colOff>219074</xdr:colOff>
      <xdr:row>5</xdr:row>
      <xdr:rowOff>142875</xdr:rowOff>
    </xdr:from>
    <xdr:to>
      <xdr:col>2</xdr:col>
      <xdr:colOff>2552185</xdr:colOff>
      <xdr:row>5</xdr:row>
      <xdr:rowOff>647700</xdr:rowOff>
    </xdr:to>
    <xdr:pic>
      <xdr:nvPicPr>
        <xdr:cNvPr id="17" name="Grafik 16">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28974" y="9791700"/>
          <a:ext cx="2333111" cy="5048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161925</xdr:colOff>
      <xdr:row>5</xdr:row>
      <xdr:rowOff>142875</xdr:rowOff>
    </xdr:from>
    <xdr:to>
      <xdr:col>2</xdr:col>
      <xdr:colOff>5114925</xdr:colOff>
      <xdr:row>5</xdr:row>
      <xdr:rowOff>866775</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5086350"/>
          <a:ext cx="4953000"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7</xdr:row>
      <xdr:rowOff>114300</xdr:rowOff>
    </xdr:from>
    <xdr:to>
      <xdr:col>2</xdr:col>
      <xdr:colOff>1562100</xdr:colOff>
      <xdr:row>7</xdr:row>
      <xdr:rowOff>657225</xdr:rowOff>
    </xdr:to>
    <xdr:pic>
      <xdr:nvPicPr>
        <xdr:cNvPr id="3" name="Picture 3">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62425" y="6829425"/>
          <a:ext cx="1400175" cy="5429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xdr:row>
      <xdr:rowOff>142875</xdr:rowOff>
    </xdr:from>
    <xdr:to>
      <xdr:col>2</xdr:col>
      <xdr:colOff>4552950</xdr:colOff>
      <xdr:row>3</xdr:row>
      <xdr:rowOff>2019300</xdr:rowOff>
    </xdr:to>
    <xdr:grpSp>
      <xdr:nvGrpSpPr>
        <xdr:cNvPr id="4" name="Gruppieren 11">
          <a:extLst>
            <a:ext uri="{FF2B5EF4-FFF2-40B4-BE49-F238E27FC236}">
              <a16:creationId xmlns:a16="http://schemas.microsoft.com/office/drawing/2014/main" id="{00000000-0008-0000-1200-000004000000}"/>
            </a:ext>
          </a:extLst>
        </xdr:cNvPr>
        <xdr:cNvGrpSpPr>
          <a:grpSpLocks/>
        </xdr:cNvGrpSpPr>
      </xdr:nvGrpSpPr>
      <xdr:grpSpPr bwMode="auto">
        <a:xfrm>
          <a:off x="4162425" y="2933700"/>
          <a:ext cx="4391025" cy="1876425"/>
          <a:chOff x="14011275" y="1019299"/>
          <a:chExt cx="4392000" cy="2107901"/>
        </a:xfrm>
        <a:effectLst>
          <a:glow rad="139700">
            <a:schemeClr val="accent3">
              <a:satMod val="175000"/>
              <a:alpha val="40000"/>
            </a:schemeClr>
          </a:glow>
        </a:effectLst>
      </xdr:grpSpPr>
      <xdr:pic>
        <xdr:nvPicPr>
          <xdr:cNvPr id="5" name="Picture 1">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11275" y="1219200"/>
            <a:ext cx="3282700" cy="19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2">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11275" y="1019299"/>
            <a:ext cx="4392000" cy="1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161925</xdr:colOff>
      <xdr:row>2</xdr:row>
      <xdr:rowOff>571500</xdr:rowOff>
    </xdr:from>
    <xdr:to>
      <xdr:col>2</xdr:col>
      <xdr:colOff>3238243</xdr:colOff>
      <xdr:row>2</xdr:row>
      <xdr:rowOff>1047750</xdr:rowOff>
    </xdr:to>
    <xdr:pic>
      <xdr:nvPicPr>
        <xdr:cNvPr id="7" name="Grafik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62425" y="1076325"/>
          <a:ext cx="3076318" cy="47625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161925</xdr:colOff>
      <xdr:row>4</xdr:row>
      <xdr:rowOff>209550</xdr:rowOff>
    </xdr:from>
    <xdr:ext cx="2520242" cy="353751"/>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00000000-0008-0000-1200-000008000000}"/>
                </a:ext>
              </a:extLst>
            </xdr:cNvPr>
            <xdr:cNvSpPr txBox="1"/>
          </xdr:nvSpPr>
          <xdr:spPr>
            <a:xfrm>
              <a:off x="4162425" y="4391025"/>
              <a:ext cx="2520242" cy="3537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sSub>
                        <m:sSubPr>
                          <m:ctrlPr>
                            <a:rPr lang="de-DE" sz="1600" b="0" i="1">
                              <a:latin typeface="Cambria Math" panose="02040503050406030204" pitchFamily="18" charset="0"/>
                              <a:ea typeface="Cambria Math" pitchFamily="18" charset="0"/>
                            </a:rPr>
                          </m:ctrlPr>
                        </m:sSubPr>
                        <m:e>
                          <m:r>
                            <a:rPr lang="de-DE" sz="1600" b="0" i="1">
                              <a:latin typeface="Cambria Math" panose="02040503050406030204" pitchFamily="18" charset="0"/>
                              <a:ea typeface="Cambria Math" pitchFamily="18" charset="0"/>
                            </a:rPr>
                            <m:t>Ü</m:t>
                          </m:r>
                          <m:r>
                            <a:rPr lang="de-DE" sz="1600" b="0" i="1">
                              <a:latin typeface="Cambria Math" panose="02040503050406030204" pitchFamily="18" charset="0"/>
                              <a:ea typeface="Cambria Math" pitchFamily="18" charset="0"/>
                            </a:rPr>
                            <m:t>𝑆</m:t>
                          </m:r>
                        </m:e>
                        <m:sub>
                          <m:r>
                            <a:rPr lang="de-DE" sz="1600" b="0" i="1">
                              <a:latin typeface="Cambria Math" panose="02040503050406030204" pitchFamily="18" charset="0"/>
                              <a:ea typeface="Cambria Math" pitchFamily="18" charset="0"/>
                            </a:rPr>
                            <m:t>𝑑</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𝐶</m:t>
                          </m:r>
                          <m:r>
                            <a:rPr lang="de-DE" sz="1600" b="0" i="1">
                              <a:latin typeface="Cambria Math" panose="02040503050406030204" pitchFamily="18" charset="0"/>
                              <a:ea typeface="Cambria Math" pitchFamily="18" charset="0"/>
                            </a:rPr>
                            <m:t>= </m:t>
                          </m:r>
                        </m:sub>
                      </m:sSub>
                      <m:r>
                        <a:rPr lang="de-DE" sz="1600" b="0" i="1">
                          <a:latin typeface="Cambria Math" panose="02040503050406030204" pitchFamily="18" charset="0"/>
                          <a:ea typeface="Cambria Math" pitchFamily="18" charset="0"/>
                        </a:rPr>
                        <m:t>Ü</m:t>
                      </m:r>
                      <m:r>
                        <a:rPr lang="de-DE" sz="1600" b="0" i="1">
                          <a:latin typeface="Cambria Math" panose="02040503050406030204" pitchFamily="18" charset="0"/>
                          <a:ea typeface="Cambria Math" pitchFamily="18" charset="0"/>
                        </a:rPr>
                        <m:t>𝑆</m:t>
                      </m:r>
                    </m:e>
                    <m:sub>
                      <m:r>
                        <a:rPr lang="de-DE" sz="1600" b="0" i="1">
                          <a:latin typeface="Cambria Math" panose="02040503050406030204" pitchFamily="18" charset="0"/>
                          <a:ea typeface="Cambria Math" pitchFamily="18" charset="0"/>
                        </a:rPr>
                        <m:t>𝐶</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𝐵𝑆𝐵</m:t>
                      </m:r>
                    </m:sub>
                  </m:sSub>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panose="02040503050406030204" pitchFamily="18" charset="0"/>
                          <a:ea typeface="Cambria Math" pitchFamily="18" charset="0"/>
                        </a:rPr>
                        <m:t>𝐵</m:t>
                      </m:r>
                    </m:e>
                    <m:sub>
                      <m:r>
                        <a:rPr lang="de-DE" sz="1600" b="0" i="1">
                          <a:latin typeface="Cambria Math" panose="02040503050406030204" pitchFamily="18" charset="0"/>
                          <a:ea typeface="Cambria Math" pitchFamily="18" charset="0"/>
                        </a:rPr>
                        <m:t>𝑑</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𝐵𝑆𝐵</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8" name="Textfeld 7"/>
            <xdr:cNvSpPr txBox="1"/>
          </xdr:nvSpPr>
          <xdr:spPr>
            <a:xfrm>
              <a:off x="4162425" y="4391025"/>
              <a:ext cx="2520242" cy="3537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a:t>
              </a:r>
              <a:r>
                <a:rPr lang="de-DE" sz="1600" b="0" i="0">
                  <a:latin typeface="Cambria Math" pitchFamily="18" charset="0"/>
                  <a:ea typeface="Cambria Math" pitchFamily="18" charset="0"/>
                </a:rPr>
                <a:t>Ü𝑆</a:t>
              </a:r>
              <a:r>
                <a:rPr lang="de-DE" sz="1600" b="0" i="0">
                  <a:latin typeface="Cambria Math"/>
                  <a:ea typeface="Cambria Math" pitchFamily="18" charset="0"/>
                </a:rPr>
                <a:t>〗_(</a:t>
              </a:r>
              <a:r>
                <a:rPr lang="de-DE" sz="1600" b="0" i="0">
                  <a:latin typeface="Cambria Math" pitchFamily="18" charset="0"/>
                  <a:ea typeface="Cambria Math" pitchFamily="18" charset="0"/>
                </a:rPr>
                <a:t>𝑑,𝐶= </a:t>
              </a:r>
              <a:r>
                <a:rPr lang="de-DE" sz="1600" b="0" i="0">
                  <a:latin typeface="Cambria Math"/>
                  <a:ea typeface="Cambria Math" pitchFamily="18" charset="0"/>
                </a:rPr>
                <a:t>)</a:t>
              </a:r>
              <a:r>
                <a:rPr lang="de-DE" sz="1600" b="0" i="0">
                  <a:latin typeface="Cambria Math" pitchFamily="18" charset="0"/>
                  <a:ea typeface="Cambria Math" pitchFamily="18" charset="0"/>
                </a:rPr>
                <a:t> Ü𝑆</a:t>
              </a:r>
              <a:r>
                <a:rPr lang="de-DE" sz="1600" b="0" i="0">
                  <a:latin typeface="Cambria Math"/>
                  <a:ea typeface="Cambria Math" pitchFamily="18" charset="0"/>
                </a:rPr>
                <a:t>〗_(</a:t>
              </a:r>
              <a:r>
                <a:rPr lang="de-DE" sz="1600" b="0" i="0">
                  <a:latin typeface="Cambria Math" pitchFamily="18" charset="0"/>
                  <a:ea typeface="Cambria Math" pitchFamily="18" charset="0"/>
                </a:rPr>
                <a:t>𝐶,𝐵𝑆𝐵</a:t>
              </a:r>
              <a:r>
                <a:rPr lang="de-DE" sz="1600" b="0" i="0">
                  <a:latin typeface="Cambria Math"/>
                  <a:ea typeface="Cambria Math" pitchFamily="18" charset="0"/>
                </a:rPr>
                <a:t>)</a:t>
              </a:r>
              <a:r>
                <a:rPr lang="de-DE" sz="1600" b="0" i="0">
                  <a:latin typeface="Cambria Math" pitchFamily="18" charset="0"/>
                  <a:ea typeface="Cambria Math" pitchFamily="18" charset="0"/>
                </a:rPr>
                <a:t>∗ 𝐵</a:t>
              </a:r>
              <a:r>
                <a:rPr lang="de-DE" sz="1600" b="0" i="0">
                  <a:latin typeface="Cambria Math"/>
                  <a:ea typeface="Cambria Math" pitchFamily="18" charset="0"/>
                </a:rPr>
                <a:t>_(</a:t>
              </a:r>
              <a:r>
                <a:rPr lang="de-DE" sz="1600" b="0" i="0">
                  <a:latin typeface="Cambria Math" pitchFamily="18" charset="0"/>
                  <a:ea typeface="Cambria Math" pitchFamily="18" charset="0"/>
                </a:rPr>
                <a:t>𝑑,𝐵𝑆𝐵,𝑍𝐵</a:t>
              </a:r>
              <a:r>
                <a:rPr lang="de-DE" sz="1600" b="0" i="0">
                  <a:latin typeface="Cambria Math"/>
                  <a:ea typeface="Cambria Math" pitchFamily="18" charset="0"/>
                </a:rPr>
                <a:t>)</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161925</xdr:colOff>
      <xdr:row>6</xdr:row>
      <xdr:rowOff>180975</xdr:rowOff>
    </xdr:from>
    <xdr:to>
      <xdr:col>2</xdr:col>
      <xdr:colOff>5362575</xdr:colOff>
      <xdr:row>6</xdr:row>
      <xdr:rowOff>532292</xdr:rowOff>
    </xdr:to>
    <xdr:pic>
      <xdr:nvPicPr>
        <xdr:cNvPr id="10" name="Grafik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62425" y="6134100"/>
          <a:ext cx="5200650" cy="351317"/>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152400</xdr:colOff>
      <xdr:row>12</xdr:row>
      <xdr:rowOff>66675</xdr:rowOff>
    </xdr:from>
    <xdr:ext cx="4838184" cy="504690"/>
    <mc:AlternateContent xmlns:mc="http://schemas.openxmlformats.org/markup-compatibility/2006" xmlns:a14="http://schemas.microsoft.com/office/drawing/2010/main">
      <mc:Choice Requires="a14">
        <xdr:sp macro="" textlink="">
          <xdr:nvSpPr>
            <xdr:cNvPr id="11" name="Textfeld 10">
              <a:extLst>
                <a:ext uri="{FF2B5EF4-FFF2-40B4-BE49-F238E27FC236}">
                  <a16:creationId xmlns:a16="http://schemas.microsoft.com/office/drawing/2014/main" id="{00000000-0008-0000-1200-00000B000000}"/>
                </a:ext>
              </a:extLst>
            </xdr:cNvPr>
            <xdr:cNvSpPr txBox="1"/>
          </xdr:nvSpPr>
          <xdr:spPr>
            <a:xfrm>
              <a:off x="4152900" y="10144125"/>
              <a:ext cx="4838184" cy="50469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𝑡</m:t>
                      </m:r>
                    </m:e>
                    <m:sub>
                      <m:r>
                        <a:rPr lang="de-DE" sz="1600" b="0" i="1">
                          <a:latin typeface="Cambria Math"/>
                          <a:ea typeface="Cambria Math" pitchFamily="18" charset="0"/>
                        </a:rPr>
                        <m:t>𝑇𝑆</m:t>
                      </m:r>
                      <m:r>
                        <a:rPr lang="de-DE" sz="1600" b="0" i="1">
                          <a:latin typeface="Cambria Math"/>
                          <a:ea typeface="Cambria Math" pitchFamily="18" charset="0"/>
                        </a:rPr>
                        <m:t>,</m:t>
                      </m:r>
                      <m:r>
                        <a:rPr lang="de-DE" sz="1600" b="0" i="1">
                          <a:latin typeface="Cambria Math"/>
                          <a:ea typeface="Cambria Math" pitchFamily="18" charset="0"/>
                        </a:rPr>
                        <m:t>𝐵𝑒𝑚</m:t>
                      </m:r>
                    </m:sub>
                  </m:sSub>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𝑀</m:t>
                          </m:r>
                        </m:e>
                        <m:sub>
                          <m:r>
                            <a:rPr lang="de-DE" sz="1600" b="0" i="1">
                              <a:latin typeface="Cambria Math"/>
                              <a:ea typeface="Cambria Math" pitchFamily="18" charset="0"/>
                            </a:rPr>
                            <m:t>𝑇𝑆</m:t>
                          </m:r>
                        </m:sub>
                      </m:sSub>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𝑆</m:t>
                          </m:r>
                        </m:e>
                        <m:sub>
                          <m:r>
                            <a:rPr lang="de-DE" sz="1600" b="0" i="1">
                              <a:latin typeface="Cambria Math"/>
                              <a:ea typeface="Cambria Math" pitchFamily="18" charset="0"/>
                            </a:rPr>
                            <m:t>𝑑</m:t>
                          </m:r>
                        </m:sub>
                      </m:sSub>
                    </m:den>
                  </m:f>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𝐵𝐵</m:t>
                          </m:r>
                        </m:sub>
                      </m:sSub>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𝑆</m:t>
                          </m:r>
                        </m:e>
                        <m:sub>
                          <m:r>
                            <a:rPr lang="de-DE" sz="1600" b="0" i="1">
                              <a:latin typeface="Cambria Math"/>
                              <a:ea typeface="Cambria Math" pitchFamily="18" charset="0"/>
                            </a:rPr>
                            <m:t>𝑑</m:t>
                          </m:r>
                        </m:sub>
                      </m:sSub>
                    </m:den>
                  </m:f>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𝐵𝐵</m:t>
                          </m:r>
                        </m:sub>
                      </m:sSub>
                    </m:num>
                    <m:den>
                      <m:d>
                        <m:dPr>
                          <m:ctrlPr>
                            <a:rPr lang="de-DE" sz="1600" b="0" i="1">
                              <a:latin typeface="Cambria Math" panose="02040503050406030204" pitchFamily="18" charset="0"/>
                              <a:ea typeface="Cambria Math" pitchFamily="18" charset="0"/>
                            </a:rPr>
                          </m:ctrlPr>
                        </m:dPr>
                        <m:e>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Ü</m:t>
                              </m:r>
                              <m:r>
                                <a:rPr lang="de-DE" sz="1600" b="0" i="1">
                                  <a:latin typeface="Cambria Math"/>
                                  <a:ea typeface="Cambria Math" pitchFamily="18" charset="0"/>
                                </a:rPr>
                                <m:t>𝑆</m:t>
                              </m:r>
                              <m:r>
                                <a:rPr lang="de-DE" sz="1600" b="0" i="1">
                                  <a:latin typeface="Cambria Math"/>
                                  <a:ea typeface="Cambria Math" pitchFamily="18" charset="0"/>
                                </a:rPr>
                                <m:t>,</m:t>
                              </m:r>
                              <m:r>
                                <a:rPr lang="de-DE" sz="1600" b="0" i="1">
                                  <a:latin typeface="Cambria Math"/>
                                  <a:ea typeface="Cambria Math" pitchFamily="18" charset="0"/>
                                </a:rPr>
                                <m:t>𝑑</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Ü</m:t>
                              </m:r>
                              <m:r>
                                <a:rPr lang="de-DE" sz="1600" b="0" i="1">
                                  <a:latin typeface="Cambria Math"/>
                                  <a:ea typeface="Cambria Math" pitchFamily="18" charset="0"/>
                                </a:rPr>
                                <m:t>𝑆</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𝑑</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𝑇𝑆</m:t>
                              </m:r>
                              <m:r>
                                <a:rPr lang="de-DE" sz="1600" b="0" i="1">
                                  <a:latin typeface="Cambria Math"/>
                                  <a:ea typeface="Cambria Math" pitchFamily="18" charset="0"/>
                                </a:rPr>
                                <m:t>,</m:t>
                              </m:r>
                              <m:r>
                                <a:rPr lang="de-DE" sz="1600" b="0" i="1">
                                  <a:latin typeface="Cambria Math"/>
                                  <a:ea typeface="Cambria Math" pitchFamily="18" charset="0"/>
                                </a:rPr>
                                <m:t>𝐴𝑁</m:t>
                              </m:r>
                            </m:sub>
                          </m:sSub>
                        </m:e>
                      </m:d>
                    </m:den>
                  </m:f>
                </m:oMath>
              </a14:m>
              <a:r>
                <a:rPr lang="de-DE" sz="1600">
                  <a:latin typeface="Cambria Math" pitchFamily="18" charset="0"/>
                  <a:ea typeface="Cambria Math" pitchFamily="18" charset="0"/>
                </a:rPr>
                <a:t> </a:t>
              </a:r>
            </a:p>
          </xdr:txBody>
        </xdr:sp>
      </mc:Choice>
      <mc:Fallback xmlns="">
        <xdr:sp macro="" textlink="">
          <xdr:nvSpPr>
            <xdr:cNvPr id="11" name="Textfeld 10"/>
            <xdr:cNvSpPr txBox="1"/>
          </xdr:nvSpPr>
          <xdr:spPr>
            <a:xfrm>
              <a:off x="4152900" y="10144125"/>
              <a:ext cx="4838184" cy="50469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𝑡_(𝑇𝑆,𝐵𝑒𝑚)=  𝑀_𝑇𝑆/〖Ü𝑆〗_𝑑 =  (𝑉_𝐵𝐵  ∗ 〖𝑇𝑆〗_𝐵𝐵)/〖Ü𝑆〗_𝑑 =  (𝑉_𝐵𝐵  ∗ 〖𝑇𝑆〗_𝐵𝐵)/((𝑄_(Ü𝑆,𝑑)  ∗ 〖𝑇𝑆〗_Ü𝑆+ 𝑄_𝑑  ∗ 𝑋_(𝑇𝑆,𝐴𝑁) ) )</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95250</xdr:colOff>
      <xdr:row>13</xdr:row>
      <xdr:rowOff>209550</xdr:rowOff>
    </xdr:from>
    <xdr:to>
      <xdr:col>3</xdr:col>
      <xdr:colOff>142172</xdr:colOff>
      <xdr:row>50</xdr:row>
      <xdr:rowOff>151399</xdr:rowOff>
    </xdr:to>
    <xdr:pic>
      <xdr:nvPicPr>
        <xdr:cNvPr id="12" name="Grafik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7"/>
        <a:stretch>
          <a:fillRect/>
        </a:stretch>
      </xdr:blipFill>
      <xdr:spPr>
        <a:xfrm>
          <a:off x="4095750" y="10915650"/>
          <a:ext cx="5628572" cy="7799974"/>
        </a:xfrm>
        <a:prstGeom prst="rect">
          <a:avLst/>
        </a:prstGeom>
        <a:effectLst>
          <a:glow rad="228600">
            <a:schemeClr val="accent2">
              <a:satMod val="175000"/>
              <a:alpha val="40000"/>
            </a:schemeClr>
          </a:glow>
        </a:effectLst>
      </xdr:spPr>
    </xdr:pic>
    <xdr:clientData/>
  </xdr:twoCellAnchor>
  <xdr:oneCellAnchor>
    <xdr:from>
      <xdr:col>2</xdr:col>
      <xdr:colOff>209550</xdr:colOff>
      <xdr:row>9</xdr:row>
      <xdr:rowOff>142875</xdr:rowOff>
    </xdr:from>
    <xdr:ext cx="3095625" cy="724494"/>
    <mc:AlternateContent xmlns:mc="http://schemas.openxmlformats.org/markup-compatibility/2006" xmlns:a14="http://schemas.microsoft.com/office/drawing/2010/main">
      <mc:Choice Requires="a14">
        <xdr:sp macro="" textlink="">
          <xdr:nvSpPr>
            <xdr:cNvPr id="13" name="Textfeld 12">
              <a:extLst>
                <a:ext uri="{FF2B5EF4-FFF2-40B4-BE49-F238E27FC236}">
                  <a16:creationId xmlns:a16="http://schemas.microsoft.com/office/drawing/2014/main" id="{00000000-0008-0000-1200-00000D000000}"/>
                </a:ext>
              </a:extLst>
            </xdr:cNvPr>
            <xdr:cNvSpPr txBox="1"/>
          </xdr:nvSpPr>
          <xdr:spPr>
            <a:xfrm>
              <a:off x="4210050" y="7953375"/>
              <a:ext cx="3095625" cy="72449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100" i="1">
                            <a:latin typeface="Cambria Math" panose="02040503050406030204" pitchFamily="18" charset="0"/>
                          </a:rPr>
                        </m:ctrlPr>
                      </m:sSubPr>
                      <m:e>
                        <m:r>
                          <a:rPr lang="de-DE" sz="1100" b="0" i="1">
                            <a:latin typeface="Cambria Math"/>
                          </a:rPr>
                          <m:t>𝑄</m:t>
                        </m:r>
                      </m:e>
                      <m:sub>
                        <m:r>
                          <a:rPr lang="de-DE" sz="1100" b="0" i="1">
                            <a:latin typeface="Cambria Math"/>
                          </a:rPr>
                          <m:t>Ü</m:t>
                        </m:r>
                        <m:r>
                          <a:rPr lang="de-DE" sz="1100" b="0" i="1">
                            <a:latin typeface="Cambria Math"/>
                          </a:rPr>
                          <m:t>𝑆</m:t>
                        </m:r>
                        <m:r>
                          <a:rPr lang="de-DE" sz="1100" b="0" i="1">
                            <a:latin typeface="Cambria Math"/>
                          </a:rPr>
                          <m:t>,</m:t>
                        </m:r>
                        <m:r>
                          <a:rPr lang="de-DE" sz="1100" b="0" i="1">
                            <a:latin typeface="Cambria Math"/>
                          </a:rPr>
                          <m:t>𝑑</m:t>
                        </m:r>
                      </m:sub>
                    </m:sSub>
                    <m:r>
                      <a:rPr lang="de-DE" sz="1100" b="0" i="1">
                        <a:latin typeface="Cambria Math"/>
                      </a:rPr>
                      <m:t> </m:t>
                    </m:r>
                    <m:r>
                      <a:rPr lang="de-DE" sz="1100" b="0" i="1">
                        <a:latin typeface="Cambria Math"/>
                      </a:rPr>
                      <m:t>𝑖𝑛</m:t>
                    </m:r>
                    <m:r>
                      <a:rPr lang="de-DE" sz="1100" b="0" i="1">
                        <a:latin typeface="Cambria Math"/>
                      </a:rPr>
                      <m:t> </m:t>
                    </m:r>
                    <m:d>
                      <m:dPr>
                        <m:begChr m:val="["/>
                        <m:endChr m:val="]"/>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sSup>
                              <m:sSupPr>
                                <m:ctrlPr>
                                  <a:rPr lang="de-DE" sz="1100" b="0" i="1">
                                    <a:latin typeface="Cambria Math" panose="02040503050406030204" pitchFamily="18" charset="0"/>
                                  </a:rPr>
                                </m:ctrlPr>
                              </m:sSupPr>
                              <m:e>
                                <m:r>
                                  <a:rPr lang="de-DE" sz="1100" b="0" i="1">
                                    <a:latin typeface="Cambria Math"/>
                                  </a:rPr>
                                  <m:t>𝑚</m:t>
                                </m:r>
                              </m:e>
                              <m:sup>
                                <m:r>
                                  <a:rPr lang="de-DE" sz="1100" b="0" i="1">
                                    <a:latin typeface="Cambria Math"/>
                                  </a:rPr>
                                  <m:t>3</m:t>
                                </m:r>
                              </m:sup>
                            </m:sSup>
                          </m:num>
                          <m:den>
                            <m:r>
                              <a:rPr lang="de-DE" sz="1100" b="0" i="1">
                                <a:latin typeface="Cambria Math"/>
                              </a:rPr>
                              <m:t>𝑑</m:t>
                            </m:r>
                          </m:den>
                        </m:f>
                      </m:e>
                    </m:d>
                    <m:r>
                      <a:rPr lang="de-DE" sz="1100" b="0" i="1">
                        <a:latin typeface="Cambria Math"/>
                      </a:rPr>
                      <m:t>=  </m:t>
                    </m:r>
                    <m:f>
                      <m:fPr>
                        <m:ctrlPr>
                          <a:rPr lang="de-DE" sz="1100" b="0" i="1">
                            <a:latin typeface="Cambria Math" panose="02040503050406030204" pitchFamily="18" charset="0"/>
                          </a:rPr>
                        </m:ctrlPr>
                      </m:fPr>
                      <m:num>
                        <m:sSub>
                          <m:sSubPr>
                            <m:ctrlPr>
                              <a:rPr lang="de-DE" sz="1100" b="0" i="1">
                                <a:solidFill>
                                  <a:schemeClr val="tx1"/>
                                </a:solidFill>
                                <a:effectLst/>
                                <a:latin typeface="Cambria Math" panose="02040503050406030204" pitchFamily="18" charset="0"/>
                                <a:ea typeface="+mn-ea"/>
                                <a:cs typeface="+mn-cs"/>
                              </a:rPr>
                            </m:ctrlPr>
                          </m:sSubPr>
                          <m:e>
                            <m:r>
                              <a:rPr lang="de-DE" sz="1100" b="0" i="1">
                                <a:solidFill>
                                  <a:schemeClr val="tx1"/>
                                </a:solidFill>
                                <a:effectLst/>
                                <a:latin typeface="Cambria Math"/>
                                <a:ea typeface="+mn-ea"/>
                                <a:cs typeface="+mn-cs"/>
                              </a:rPr>
                              <m:t>Ü</m:t>
                            </m:r>
                            <m:r>
                              <a:rPr lang="de-DE" sz="1100" b="0" i="1">
                                <a:solidFill>
                                  <a:schemeClr val="tx1"/>
                                </a:solidFill>
                                <a:effectLst/>
                                <a:latin typeface="Cambria Math"/>
                                <a:ea typeface="+mn-ea"/>
                                <a:cs typeface="+mn-cs"/>
                              </a:rPr>
                              <m:t>𝑆</m:t>
                            </m:r>
                          </m:e>
                          <m:sub>
                            <m:r>
                              <a:rPr lang="de-DE" sz="1100" b="0" i="1">
                                <a:solidFill>
                                  <a:schemeClr val="tx1"/>
                                </a:solidFill>
                                <a:effectLst/>
                                <a:latin typeface="Cambria Math"/>
                                <a:ea typeface="+mn-ea"/>
                                <a:cs typeface="+mn-cs"/>
                              </a:rPr>
                              <m:t>𝑑</m:t>
                            </m:r>
                            <m:r>
                              <a:rPr lang="de-DE" sz="1100" b="0" i="1">
                                <a:solidFill>
                                  <a:schemeClr val="tx1"/>
                                </a:solidFill>
                                <a:effectLst/>
                                <a:latin typeface="Cambria Math"/>
                                <a:ea typeface="+mn-ea"/>
                                <a:cs typeface="+mn-cs"/>
                              </a:rPr>
                              <m:t> </m:t>
                            </m:r>
                          </m:sub>
                        </m:sSub>
                        <m:r>
                          <a:rPr lang="de-DE" sz="1100" b="0" i="1">
                            <a:solidFill>
                              <a:schemeClr val="tx1"/>
                            </a:solidFill>
                            <a:effectLst/>
                            <a:latin typeface="Cambria Math"/>
                            <a:ea typeface="+mn-ea"/>
                            <a:cs typeface="+mn-cs"/>
                          </a:rPr>
                          <m:t> </m:t>
                        </m:r>
                        <m:d>
                          <m:dPr>
                            <m:begChr m:val="["/>
                            <m:endChr m:val="]"/>
                            <m:ctrlPr>
                              <a:rPr lang="de-DE" sz="1100" b="0" i="1">
                                <a:solidFill>
                                  <a:schemeClr val="tx1"/>
                                </a:solidFill>
                                <a:effectLst/>
                                <a:latin typeface="Cambria Math" panose="02040503050406030204" pitchFamily="18" charset="0"/>
                                <a:ea typeface="+mn-ea"/>
                                <a:cs typeface="+mn-cs"/>
                              </a:rPr>
                            </m:ctrlPr>
                          </m:dPr>
                          <m:e>
                            <m:f>
                              <m:fPr>
                                <m:ctrlPr>
                                  <a:rPr lang="de-DE" sz="1100" b="0" i="1">
                                    <a:solidFill>
                                      <a:schemeClr val="tx1"/>
                                    </a:solidFill>
                                    <a:effectLst/>
                                    <a:latin typeface="Cambria Math" panose="02040503050406030204" pitchFamily="18" charset="0"/>
                                    <a:ea typeface="+mn-ea"/>
                                    <a:cs typeface="+mn-cs"/>
                                  </a:rPr>
                                </m:ctrlPr>
                              </m:fPr>
                              <m:num>
                                <m:r>
                                  <a:rPr lang="de-DE" sz="1100" b="0" i="1">
                                    <a:solidFill>
                                      <a:schemeClr val="tx1"/>
                                    </a:solidFill>
                                    <a:effectLst/>
                                    <a:latin typeface="Cambria Math"/>
                                    <a:ea typeface="+mn-ea"/>
                                    <a:cs typeface="+mn-cs"/>
                                  </a:rPr>
                                  <m:t>𝑘𝑔</m:t>
                                </m:r>
                                <m:r>
                                  <a:rPr lang="de-DE" sz="1100" b="0" i="1">
                                    <a:solidFill>
                                      <a:schemeClr val="tx1"/>
                                    </a:solidFill>
                                    <a:effectLst/>
                                    <a:latin typeface="Cambria Math"/>
                                    <a:ea typeface="+mn-ea"/>
                                    <a:cs typeface="+mn-cs"/>
                                  </a:rPr>
                                  <m:t> </m:t>
                                </m:r>
                                <m:r>
                                  <a:rPr lang="de-DE" sz="1100" b="0" i="1">
                                    <a:solidFill>
                                      <a:schemeClr val="tx1"/>
                                    </a:solidFill>
                                    <a:effectLst/>
                                    <a:latin typeface="Cambria Math"/>
                                    <a:ea typeface="+mn-ea"/>
                                    <a:cs typeface="+mn-cs"/>
                                  </a:rPr>
                                  <m:t>𝑇𝑆</m:t>
                                </m:r>
                              </m:num>
                              <m:den>
                                <m:r>
                                  <a:rPr lang="de-DE" sz="1100" b="0" i="1">
                                    <a:solidFill>
                                      <a:schemeClr val="tx1"/>
                                    </a:solidFill>
                                    <a:effectLst/>
                                    <a:latin typeface="Cambria Math"/>
                                    <a:ea typeface="+mn-ea"/>
                                    <a:cs typeface="+mn-cs"/>
                                  </a:rPr>
                                  <m:t>𝑑</m:t>
                                </m:r>
                              </m:den>
                            </m:f>
                          </m:e>
                        </m:d>
                      </m:num>
                      <m:den>
                        <m:sSub>
                          <m:sSubPr>
                            <m:ctrlPr>
                              <a:rPr lang="de-DE" sz="1100" b="0" i="1">
                                <a:latin typeface="Cambria Math" panose="02040503050406030204" pitchFamily="18" charset="0"/>
                              </a:rPr>
                            </m:ctrlPr>
                          </m:sSubPr>
                          <m:e>
                            <m:r>
                              <a:rPr lang="de-DE" sz="1100" b="0" i="1">
                                <a:latin typeface="Cambria Math"/>
                              </a:rPr>
                              <m:t>𝑇𝑆</m:t>
                            </m:r>
                          </m:e>
                          <m:sub>
                            <m:r>
                              <a:rPr lang="de-DE" sz="1100" b="0" i="1">
                                <a:latin typeface="Cambria Math"/>
                              </a:rPr>
                              <m:t>Ü</m:t>
                            </m:r>
                            <m:r>
                              <a:rPr lang="de-DE" sz="1100" b="0" i="1">
                                <a:latin typeface="Cambria Math"/>
                              </a:rPr>
                              <m:t>𝑆</m:t>
                            </m:r>
                          </m:sub>
                        </m:sSub>
                        <m:r>
                          <a:rPr lang="de-DE" sz="1100" b="0" i="1">
                            <a:latin typeface="Cambria Math"/>
                          </a:rPr>
                          <m:t> </m:t>
                        </m:r>
                        <m:d>
                          <m:dPr>
                            <m:begChr m:val="["/>
                            <m:endChr m:val="]"/>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r>
                                  <a:rPr lang="de-DE" sz="1100" b="0" i="1">
                                    <a:latin typeface="Cambria Math"/>
                                  </a:rPr>
                                  <m:t>𝑘𝑔</m:t>
                                </m:r>
                                <m:r>
                                  <a:rPr lang="de-DE" sz="1100" b="0" i="1">
                                    <a:latin typeface="Cambria Math"/>
                                  </a:rPr>
                                  <m:t> </m:t>
                                </m:r>
                                <m:r>
                                  <a:rPr lang="de-DE" sz="1100" b="0" i="1">
                                    <a:latin typeface="Cambria Math"/>
                                  </a:rPr>
                                  <m:t>𝑇𝑆</m:t>
                                </m:r>
                              </m:num>
                              <m:den>
                                <m:sSup>
                                  <m:sSupPr>
                                    <m:ctrlPr>
                                      <a:rPr lang="de-DE" sz="1100" b="0" i="1">
                                        <a:latin typeface="Cambria Math" panose="02040503050406030204" pitchFamily="18" charset="0"/>
                                      </a:rPr>
                                    </m:ctrlPr>
                                  </m:sSupPr>
                                  <m:e>
                                    <m:r>
                                      <a:rPr lang="de-DE" sz="1100" b="0" i="1">
                                        <a:latin typeface="Cambria Math"/>
                                      </a:rPr>
                                      <m:t>𝑚</m:t>
                                    </m:r>
                                  </m:e>
                                  <m:sup>
                                    <m:r>
                                      <a:rPr lang="de-DE" sz="1100" b="0" i="1">
                                        <a:latin typeface="Cambria Math"/>
                                      </a:rPr>
                                      <m:t>3</m:t>
                                    </m:r>
                                  </m:sup>
                                </m:sSup>
                                <m:r>
                                  <a:rPr lang="de-DE" sz="1100" b="0" i="1">
                                    <a:latin typeface="Cambria Math"/>
                                  </a:rPr>
                                  <m:t>𝑆𝑐h𝑙𝑎𝑚𝑚𝑤𝑎𝑠𝑠𝑒𝑟</m:t>
                                </m:r>
                              </m:den>
                            </m:f>
                          </m:e>
                        </m:d>
                      </m:den>
                    </m:f>
                    <m:r>
                      <a:rPr lang="de-DE" sz="1100" b="0" i="1">
                        <a:latin typeface="Cambria Math"/>
                      </a:rPr>
                      <m:t> </m:t>
                    </m:r>
                  </m:oMath>
                </m:oMathPara>
              </a14:m>
              <a:endParaRPr lang="de-DE" sz="1100"/>
            </a:p>
          </xdr:txBody>
        </xdr:sp>
      </mc:Choice>
      <mc:Fallback xmlns="">
        <xdr:sp macro="" textlink="">
          <xdr:nvSpPr>
            <xdr:cNvPr id="13" name="Textfeld 12"/>
            <xdr:cNvSpPr txBox="1"/>
          </xdr:nvSpPr>
          <xdr:spPr>
            <a:xfrm>
              <a:off x="4210050" y="7953375"/>
              <a:ext cx="3095625" cy="72449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100" b="0" i="0">
                  <a:latin typeface="Cambria Math"/>
                </a:rPr>
                <a:t>𝑄_(Ü𝑆,𝑑)  𝑖𝑛 [𝑚^3/𝑑]=  </a:t>
              </a:r>
              <a:r>
                <a:rPr lang="de-DE" sz="1100" b="0" i="0">
                  <a:solidFill>
                    <a:schemeClr val="tx1"/>
                  </a:solidFill>
                  <a:effectLst/>
                  <a:latin typeface="Cambria Math"/>
                  <a:ea typeface="+mn-ea"/>
                  <a:cs typeface="+mn-cs"/>
                </a:rPr>
                <a:t> (〖Ü𝑆〗_(𝑑 )  [(𝑘𝑔 𝑇𝑆)/𝑑])/(〖</a:t>
              </a:r>
              <a:r>
                <a:rPr lang="de-DE" sz="1100" b="0" i="0">
                  <a:latin typeface="Cambria Math"/>
                </a:rPr>
                <a:t>𝑇𝑆〗_Ü𝑆  [(𝑘𝑔 𝑇𝑆)/(𝑚^3 𝑆𝑐ℎ𝑙𝑎𝑚𝑚𝑤𝑎𝑠𝑠𝑒𝑟)] )  </a:t>
              </a:r>
              <a:endParaRPr lang="de-DE" sz="1100"/>
            </a:p>
          </xdr:txBody>
        </xdr:sp>
      </mc:Fallback>
    </mc:AlternateContent>
    <xdr:clientData/>
  </xdr:oneCellAnchor>
  <xdr:oneCellAnchor>
    <xdr:from>
      <xdr:col>2</xdr:col>
      <xdr:colOff>152400</xdr:colOff>
      <xdr:row>11</xdr:row>
      <xdr:rowOff>152400</xdr:rowOff>
    </xdr:from>
    <xdr:ext cx="1378904" cy="336374"/>
    <mc:AlternateContent xmlns:mc="http://schemas.openxmlformats.org/markup-compatibility/2006" xmlns:a14="http://schemas.microsoft.com/office/drawing/2010/main">
      <mc:Choice Requires="a14">
        <xdr:sp macro="" textlink="">
          <xdr:nvSpPr>
            <xdr:cNvPr id="14" name="Textfeld 13">
              <a:extLst>
                <a:ext uri="{FF2B5EF4-FFF2-40B4-BE49-F238E27FC236}">
                  <a16:creationId xmlns:a16="http://schemas.microsoft.com/office/drawing/2014/main" id="{00000000-0008-0000-1200-00000E000000}"/>
                </a:ext>
              </a:extLst>
            </xdr:cNvPr>
            <xdr:cNvSpPr txBox="1"/>
          </xdr:nvSpPr>
          <xdr:spPr>
            <a:xfrm>
              <a:off x="4152900" y="9601200"/>
              <a:ext cx="1378904" cy="3363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Ü</m:t>
                      </m:r>
                      <m:r>
                        <a:rPr lang="de-DE" sz="1600" b="0" i="1">
                          <a:latin typeface="Cambria Math"/>
                          <a:ea typeface="Cambria Math" pitchFamily="18" charset="0"/>
                        </a:rPr>
                        <m:t>𝑆</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𝑅𝑆</m:t>
                      </m:r>
                    </m:sub>
                  </m:sSub>
                </m:oMath>
              </a14:m>
              <a:r>
                <a:rPr lang="de-DE" sz="1600">
                  <a:latin typeface="Cambria Math" pitchFamily="18" charset="0"/>
                  <a:ea typeface="Cambria Math" pitchFamily="18" charset="0"/>
                </a:rPr>
                <a:t> </a:t>
              </a:r>
            </a:p>
          </xdr:txBody>
        </xdr:sp>
      </mc:Choice>
      <mc:Fallback xmlns="">
        <xdr:sp macro="" textlink="">
          <xdr:nvSpPr>
            <xdr:cNvPr id="14" name="Textfeld 13"/>
            <xdr:cNvSpPr txBox="1"/>
          </xdr:nvSpPr>
          <xdr:spPr>
            <a:xfrm>
              <a:off x="4152900" y="9601200"/>
              <a:ext cx="1378904" cy="3363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i="0">
                  <a:latin typeface="Cambria Math"/>
                  <a:ea typeface="Cambria Math" pitchFamily="18" charset="0"/>
                </a:rPr>
                <a:t>〖</a:t>
              </a:r>
              <a:r>
                <a:rPr lang="de-DE" sz="1600" b="0" i="0">
                  <a:latin typeface="Cambria Math"/>
                  <a:ea typeface="Cambria Math" pitchFamily="18" charset="0"/>
                </a:rPr>
                <a:t>𝑇𝑆〗_Ü𝑆= 〖𝑇𝑆〗_𝑅𝑆</a:t>
              </a:r>
              <a:r>
                <a:rPr lang="de-DE" sz="1600">
                  <a:latin typeface="Cambria Math" pitchFamily="18" charset="0"/>
                  <a:ea typeface="Cambria Math" pitchFamily="18" charset="0"/>
                </a:rPr>
                <a:t> </a:t>
              </a: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twoCellAnchor editAs="oneCell">
    <xdr:from>
      <xdr:col>2</xdr:col>
      <xdr:colOff>161925</xdr:colOff>
      <xdr:row>6</xdr:row>
      <xdr:rowOff>142875</xdr:rowOff>
    </xdr:from>
    <xdr:to>
      <xdr:col>2</xdr:col>
      <xdr:colOff>5114925</xdr:colOff>
      <xdr:row>6</xdr:row>
      <xdr:rowOff>866775</xdr:rowOff>
    </xdr:to>
    <xdr:pic>
      <xdr:nvPicPr>
        <xdr:cNvPr id="10252" name="Picture 2">
          <a:extLst>
            <a:ext uri="{FF2B5EF4-FFF2-40B4-BE49-F238E27FC236}">
              <a16:creationId xmlns:a16="http://schemas.microsoft.com/office/drawing/2014/main" id="{00000000-0008-0000-1300-00000C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5972175"/>
          <a:ext cx="4953000"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8</xdr:row>
      <xdr:rowOff>114300</xdr:rowOff>
    </xdr:from>
    <xdr:to>
      <xdr:col>2</xdr:col>
      <xdr:colOff>1562100</xdr:colOff>
      <xdr:row>8</xdr:row>
      <xdr:rowOff>657225</xdr:rowOff>
    </xdr:to>
    <xdr:pic>
      <xdr:nvPicPr>
        <xdr:cNvPr id="10253" name="Picture 3">
          <a:extLst>
            <a:ext uri="{FF2B5EF4-FFF2-40B4-BE49-F238E27FC236}">
              <a16:creationId xmlns:a16="http://schemas.microsoft.com/office/drawing/2014/main" id="{00000000-0008-0000-1300-00000D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62425" y="6610350"/>
          <a:ext cx="1400175" cy="5429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xdr:row>
      <xdr:rowOff>142875</xdr:rowOff>
    </xdr:from>
    <xdr:to>
      <xdr:col>2</xdr:col>
      <xdr:colOff>4552950</xdr:colOff>
      <xdr:row>3</xdr:row>
      <xdr:rowOff>2019300</xdr:rowOff>
    </xdr:to>
    <xdr:grpSp>
      <xdr:nvGrpSpPr>
        <xdr:cNvPr id="10260" name="Gruppieren 11">
          <a:extLst>
            <a:ext uri="{FF2B5EF4-FFF2-40B4-BE49-F238E27FC236}">
              <a16:creationId xmlns:a16="http://schemas.microsoft.com/office/drawing/2014/main" id="{00000000-0008-0000-1300-000014280000}"/>
            </a:ext>
          </a:extLst>
        </xdr:cNvPr>
        <xdr:cNvGrpSpPr>
          <a:grpSpLocks/>
        </xdr:cNvGrpSpPr>
      </xdr:nvGrpSpPr>
      <xdr:grpSpPr bwMode="auto">
        <a:xfrm>
          <a:off x="4162425" y="2933700"/>
          <a:ext cx="4391025" cy="1876425"/>
          <a:chOff x="14011275" y="1019299"/>
          <a:chExt cx="4392000" cy="2107901"/>
        </a:xfrm>
        <a:effectLst>
          <a:glow rad="139700">
            <a:schemeClr val="accent3">
              <a:satMod val="175000"/>
              <a:alpha val="40000"/>
            </a:schemeClr>
          </a:glow>
        </a:effectLst>
      </xdr:grpSpPr>
      <xdr:pic>
        <xdr:nvPicPr>
          <xdr:cNvPr id="10261" name="Picture 1">
            <a:extLst>
              <a:ext uri="{FF2B5EF4-FFF2-40B4-BE49-F238E27FC236}">
                <a16:creationId xmlns:a16="http://schemas.microsoft.com/office/drawing/2014/main" id="{00000000-0008-0000-1300-00001528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11275" y="1219200"/>
            <a:ext cx="3282700" cy="19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262" name="Picture 2">
            <a:extLst>
              <a:ext uri="{FF2B5EF4-FFF2-40B4-BE49-F238E27FC236}">
                <a16:creationId xmlns:a16="http://schemas.microsoft.com/office/drawing/2014/main" id="{00000000-0008-0000-1300-00001628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11275" y="1019299"/>
            <a:ext cx="4392000" cy="1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161925</xdr:colOff>
      <xdr:row>2</xdr:row>
      <xdr:rowOff>571500</xdr:rowOff>
    </xdr:from>
    <xdr:to>
      <xdr:col>2</xdr:col>
      <xdr:colOff>3238243</xdr:colOff>
      <xdr:row>2</xdr:row>
      <xdr:rowOff>1047750</xdr:rowOff>
    </xdr:to>
    <xdr:pic>
      <xdr:nvPicPr>
        <xdr:cNvPr id="13" name="Grafik 12">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62425" y="1085850"/>
          <a:ext cx="3076318" cy="47625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161925</xdr:colOff>
      <xdr:row>5</xdr:row>
      <xdr:rowOff>209550</xdr:rowOff>
    </xdr:from>
    <xdr:ext cx="2520242" cy="353751"/>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1300-000003000000}"/>
                </a:ext>
              </a:extLst>
            </xdr:cNvPr>
            <xdr:cNvSpPr txBox="1"/>
          </xdr:nvSpPr>
          <xdr:spPr>
            <a:xfrm>
              <a:off x="4162425" y="5276850"/>
              <a:ext cx="2520242" cy="3537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sSub>
                        <m:sSubPr>
                          <m:ctrlPr>
                            <a:rPr lang="de-DE" sz="1600" b="0" i="1">
                              <a:latin typeface="Cambria Math" panose="02040503050406030204" pitchFamily="18" charset="0"/>
                              <a:ea typeface="Cambria Math" pitchFamily="18" charset="0"/>
                            </a:rPr>
                          </m:ctrlPr>
                        </m:sSubPr>
                        <m:e>
                          <m:r>
                            <a:rPr lang="de-DE" sz="1600" b="0" i="1">
                              <a:latin typeface="Cambria Math" panose="02040503050406030204" pitchFamily="18" charset="0"/>
                              <a:ea typeface="Cambria Math" pitchFamily="18" charset="0"/>
                            </a:rPr>
                            <m:t>Ü</m:t>
                          </m:r>
                          <m:r>
                            <a:rPr lang="de-DE" sz="1600" b="0" i="1">
                              <a:latin typeface="Cambria Math" panose="02040503050406030204" pitchFamily="18" charset="0"/>
                              <a:ea typeface="Cambria Math" pitchFamily="18" charset="0"/>
                            </a:rPr>
                            <m:t>𝑆</m:t>
                          </m:r>
                        </m:e>
                        <m:sub>
                          <m:r>
                            <a:rPr lang="de-DE" sz="1600" b="0" i="1">
                              <a:latin typeface="Cambria Math" panose="02040503050406030204" pitchFamily="18" charset="0"/>
                              <a:ea typeface="Cambria Math" pitchFamily="18" charset="0"/>
                            </a:rPr>
                            <m:t>𝑑</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𝐶</m:t>
                          </m:r>
                          <m:r>
                            <a:rPr lang="de-DE" sz="1600" b="0" i="1">
                              <a:latin typeface="Cambria Math" panose="02040503050406030204" pitchFamily="18" charset="0"/>
                              <a:ea typeface="Cambria Math" pitchFamily="18" charset="0"/>
                            </a:rPr>
                            <m:t>= </m:t>
                          </m:r>
                        </m:sub>
                      </m:sSub>
                      <m:r>
                        <a:rPr lang="de-DE" sz="1600" b="0" i="1">
                          <a:latin typeface="Cambria Math" panose="02040503050406030204" pitchFamily="18" charset="0"/>
                          <a:ea typeface="Cambria Math" pitchFamily="18" charset="0"/>
                        </a:rPr>
                        <m:t>Ü</m:t>
                      </m:r>
                      <m:r>
                        <a:rPr lang="de-DE" sz="1600" b="0" i="1">
                          <a:latin typeface="Cambria Math" panose="02040503050406030204" pitchFamily="18" charset="0"/>
                          <a:ea typeface="Cambria Math" pitchFamily="18" charset="0"/>
                        </a:rPr>
                        <m:t>𝑆</m:t>
                      </m:r>
                    </m:e>
                    <m:sub>
                      <m:r>
                        <a:rPr lang="de-DE" sz="1600" b="0" i="1">
                          <a:latin typeface="Cambria Math" panose="02040503050406030204" pitchFamily="18" charset="0"/>
                          <a:ea typeface="Cambria Math" pitchFamily="18" charset="0"/>
                        </a:rPr>
                        <m:t>𝐶</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𝐵𝑆𝐵</m:t>
                      </m:r>
                    </m:sub>
                  </m:sSub>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panose="02040503050406030204" pitchFamily="18" charset="0"/>
                          <a:ea typeface="Cambria Math" pitchFamily="18" charset="0"/>
                        </a:rPr>
                        <m:t>𝐵</m:t>
                      </m:r>
                    </m:e>
                    <m:sub>
                      <m:r>
                        <a:rPr lang="de-DE" sz="1600" b="0" i="1">
                          <a:latin typeface="Cambria Math" panose="02040503050406030204" pitchFamily="18" charset="0"/>
                          <a:ea typeface="Cambria Math" pitchFamily="18" charset="0"/>
                        </a:rPr>
                        <m:t>𝑑</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𝐵𝑆𝐵</m:t>
                      </m:r>
                      <m:r>
                        <a:rPr lang="de-DE" sz="1600" b="0" i="1">
                          <a:latin typeface="Cambria Math" panose="02040503050406030204" pitchFamily="18" charset="0"/>
                          <a:ea typeface="Cambria Math" pitchFamily="18" charset="0"/>
                        </a:rPr>
                        <m:t>,</m:t>
                      </m:r>
                      <m:r>
                        <a:rPr lang="de-DE" sz="1600" b="0" i="1">
                          <a:latin typeface="Cambria Math" panose="02040503050406030204" pitchFamily="18" charset="0"/>
                          <a:ea typeface="Cambria Math" pitchFamily="18" charset="0"/>
                        </a:rPr>
                        <m:t>𝑍𝐵</m:t>
                      </m:r>
                    </m:sub>
                  </m:sSub>
                </m:oMath>
              </a14:m>
              <a:r>
                <a:rPr lang="de-DE" sz="1600">
                  <a:latin typeface="Cambria Math" pitchFamily="18" charset="0"/>
                  <a:ea typeface="Cambria Math" pitchFamily="18" charset="0"/>
                </a:rPr>
                <a:t> </a:t>
              </a:r>
            </a:p>
          </xdr:txBody>
        </xdr:sp>
      </mc:Choice>
      <mc:Fallback xmlns="">
        <xdr:sp macro="" textlink="">
          <xdr:nvSpPr>
            <xdr:cNvPr id="3" name="Textfeld 2"/>
            <xdr:cNvSpPr txBox="1"/>
          </xdr:nvSpPr>
          <xdr:spPr>
            <a:xfrm>
              <a:off x="4162425" y="5276850"/>
              <a:ext cx="2520242" cy="3537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a:t>
              </a:r>
              <a:r>
                <a:rPr lang="de-DE" sz="1600" b="0" i="0">
                  <a:latin typeface="Cambria Math" pitchFamily="18" charset="0"/>
                  <a:ea typeface="Cambria Math" pitchFamily="18" charset="0"/>
                </a:rPr>
                <a:t>Ü𝑆</a:t>
              </a:r>
              <a:r>
                <a:rPr lang="de-DE" sz="1600" b="0" i="0">
                  <a:latin typeface="Cambria Math"/>
                  <a:ea typeface="Cambria Math" pitchFamily="18" charset="0"/>
                </a:rPr>
                <a:t>〗_(</a:t>
              </a:r>
              <a:r>
                <a:rPr lang="de-DE" sz="1600" b="0" i="0">
                  <a:latin typeface="Cambria Math" pitchFamily="18" charset="0"/>
                  <a:ea typeface="Cambria Math" pitchFamily="18" charset="0"/>
                </a:rPr>
                <a:t>𝑑,𝐶= </a:t>
              </a:r>
              <a:r>
                <a:rPr lang="de-DE" sz="1600" b="0" i="0">
                  <a:latin typeface="Cambria Math"/>
                  <a:ea typeface="Cambria Math" pitchFamily="18" charset="0"/>
                </a:rPr>
                <a:t>)</a:t>
              </a:r>
              <a:r>
                <a:rPr lang="de-DE" sz="1600" b="0" i="0">
                  <a:latin typeface="Cambria Math" pitchFamily="18" charset="0"/>
                  <a:ea typeface="Cambria Math" pitchFamily="18" charset="0"/>
                </a:rPr>
                <a:t> Ü𝑆</a:t>
              </a:r>
              <a:r>
                <a:rPr lang="de-DE" sz="1600" b="0" i="0">
                  <a:latin typeface="Cambria Math"/>
                  <a:ea typeface="Cambria Math" pitchFamily="18" charset="0"/>
                </a:rPr>
                <a:t>〗_(</a:t>
              </a:r>
              <a:r>
                <a:rPr lang="de-DE" sz="1600" b="0" i="0">
                  <a:latin typeface="Cambria Math" pitchFamily="18" charset="0"/>
                  <a:ea typeface="Cambria Math" pitchFamily="18" charset="0"/>
                </a:rPr>
                <a:t>𝐶,𝐵𝑆𝐵</a:t>
              </a:r>
              <a:r>
                <a:rPr lang="de-DE" sz="1600" b="0" i="0">
                  <a:latin typeface="Cambria Math"/>
                  <a:ea typeface="Cambria Math" pitchFamily="18" charset="0"/>
                </a:rPr>
                <a:t>)</a:t>
              </a:r>
              <a:r>
                <a:rPr lang="de-DE" sz="1600" b="0" i="0">
                  <a:latin typeface="Cambria Math" pitchFamily="18" charset="0"/>
                  <a:ea typeface="Cambria Math" pitchFamily="18" charset="0"/>
                </a:rPr>
                <a:t>∗ 𝐵</a:t>
              </a:r>
              <a:r>
                <a:rPr lang="de-DE" sz="1600" b="0" i="0">
                  <a:latin typeface="Cambria Math"/>
                  <a:ea typeface="Cambria Math" pitchFamily="18" charset="0"/>
                </a:rPr>
                <a:t>_(</a:t>
              </a:r>
              <a:r>
                <a:rPr lang="de-DE" sz="1600" b="0" i="0">
                  <a:latin typeface="Cambria Math" pitchFamily="18" charset="0"/>
                  <a:ea typeface="Cambria Math" pitchFamily="18" charset="0"/>
                </a:rPr>
                <a:t>𝑑,𝐵𝑆𝐵,𝑍𝐵</a:t>
              </a:r>
              <a:r>
                <a:rPr lang="de-DE" sz="1600" b="0" i="0">
                  <a:latin typeface="Cambria Math"/>
                  <a:ea typeface="Cambria Math" pitchFamily="18" charset="0"/>
                </a:rPr>
                <a:t>)</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161925</xdr:colOff>
      <xdr:row>7</xdr:row>
      <xdr:rowOff>180975</xdr:rowOff>
    </xdr:from>
    <xdr:to>
      <xdr:col>2</xdr:col>
      <xdr:colOff>5362575</xdr:colOff>
      <xdr:row>7</xdr:row>
      <xdr:rowOff>532292</xdr:rowOff>
    </xdr:to>
    <xdr:pic>
      <xdr:nvPicPr>
        <xdr:cNvPr id="14" name="Grafik 13">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62425" y="6010275"/>
          <a:ext cx="5200650" cy="351317"/>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152400</xdr:colOff>
      <xdr:row>12</xdr:row>
      <xdr:rowOff>66675</xdr:rowOff>
    </xdr:from>
    <xdr:ext cx="4838184" cy="504690"/>
    <mc:AlternateContent xmlns:mc="http://schemas.openxmlformats.org/markup-compatibility/2006" xmlns:a14="http://schemas.microsoft.com/office/drawing/2010/main">
      <mc:Choice Requires="a14">
        <xdr:sp macro="" textlink="">
          <xdr:nvSpPr>
            <xdr:cNvPr id="12" name="Textfeld 11">
              <a:extLst>
                <a:ext uri="{FF2B5EF4-FFF2-40B4-BE49-F238E27FC236}">
                  <a16:creationId xmlns:a16="http://schemas.microsoft.com/office/drawing/2014/main" id="{00000000-0008-0000-1300-00000C000000}"/>
                </a:ext>
              </a:extLst>
            </xdr:cNvPr>
            <xdr:cNvSpPr txBox="1"/>
          </xdr:nvSpPr>
          <xdr:spPr>
            <a:xfrm>
              <a:off x="4152900" y="9763125"/>
              <a:ext cx="4838184" cy="50469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𝑡</m:t>
                      </m:r>
                    </m:e>
                    <m:sub>
                      <m:r>
                        <a:rPr lang="de-DE" sz="1600" b="0" i="1">
                          <a:latin typeface="Cambria Math"/>
                          <a:ea typeface="Cambria Math" pitchFamily="18" charset="0"/>
                        </a:rPr>
                        <m:t>𝑇𝑆</m:t>
                      </m:r>
                      <m:r>
                        <a:rPr lang="de-DE" sz="1600" b="0" i="1">
                          <a:latin typeface="Cambria Math"/>
                          <a:ea typeface="Cambria Math" pitchFamily="18" charset="0"/>
                        </a:rPr>
                        <m:t>,</m:t>
                      </m:r>
                      <m:r>
                        <a:rPr lang="de-DE" sz="1600" b="0" i="1">
                          <a:latin typeface="Cambria Math"/>
                          <a:ea typeface="Cambria Math" pitchFamily="18" charset="0"/>
                        </a:rPr>
                        <m:t>𝐵𝑒𝑚</m:t>
                      </m:r>
                    </m:sub>
                  </m:sSub>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𝑀</m:t>
                          </m:r>
                        </m:e>
                        <m:sub>
                          <m:r>
                            <a:rPr lang="de-DE" sz="1600" b="0" i="1">
                              <a:latin typeface="Cambria Math"/>
                              <a:ea typeface="Cambria Math" pitchFamily="18" charset="0"/>
                            </a:rPr>
                            <m:t>𝑇𝑆</m:t>
                          </m:r>
                        </m:sub>
                      </m:sSub>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𝑆</m:t>
                          </m:r>
                        </m:e>
                        <m:sub>
                          <m:r>
                            <a:rPr lang="de-DE" sz="1600" b="0" i="1">
                              <a:latin typeface="Cambria Math"/>
                              <a:ea typeface="Cambria Math" pitchFamily="18" charset="0"/>
                            </a:rPr>
                            <m:t>𝑑</m:t>
                          </m:r>
                        </m:sub>
                      </m:sSub>
                    </m:den>
                  </m:f>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𝐵𝐵</m:t>
                          </m:r>
                        </m:sub>
                      </m:sSub>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Ü</m:t>
                          </m:r>
                          <m:r>
                            <a:rPr lang="de-DE" sz="1600" b="0" i="1">
                              <a:latin typeface="Cambria Math"/>
                              <a:ea typeface="Cambria Math" pitchFamily="18" charset="0"/>
                            </a:rPr>
                            <m:t>𝑆</m:t>
                          </m:r>
                        </m:e>
                        <m:sub>
                          <m:r>
                            <a:rPr lang="de-DE" sz="1600" b="0" i="1">
                              <a:latin typeface="Cambria Math"/>
                              <a:ea typeface="Cambria Math" pitchFamily="18" charset="0"/>
                            </a:rPr>
                            <m:t>𝑑</m:t>
                          </m:r>
                        </m:sub>
                      </m:sSub>
                    </m:den>
                  </m:f>
                  <m:r>
                    <a:rPr lang="de-DE" sz="1600" b="0" i="1">
                      <a:latin typeface="Cambria Math"/>
                      <a:ea typeface="Cambria Math" pitchFamily="18" charset="0"/>
                    </a:rPr>
                    <m:t>=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𝐵𝐵</m:t>
                          </m:r>
                        </m:sub>
                      </m:sSub>
                    </m:num>
                    <m:den>
                      <m:d>
                        <m:dPr>
                          <m:ctrlPr>
                            <a:rPr lang="de-DE" sz="1600" b="0" i="1">
                              <a:latin typeface="Cambria Math" panose="02040503050406030204" pitchFamily="18" charset="0"/>
                              <a:ea typeface="Cambria Math" pitchFamily="18" charset="0"/>
                            </a:rPr>
                          </m:ctrlPr>
                        </m:dPr>
                        <m:e>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Ü</m:t>
                              </m:r>
                              <m:r>
                                <a:rPr lang="de-DE" sz="1600" b="0" i="1">
                                  <a:latin typeface="Cambria Math"/>
                                  <a:ea typeface="Cambria Math" pitchFamily="18" charset="0"/>
                                </a:rPr>
                                <m:t>𝑆</m:t>
                              </m:r>
                              <m:r>
                                <a:rPr lang="de-DE" sz="1600" b="0" i="1">
                                  <a:latin typeface="Cambria Math"/>
                                  <a:ea typeface="Cambria Math" pitchFamily="18" charset="0"/>
                                </a:rPr>
                                <m:t>,</m:t>
                              </m:r>
                              <m:r>
                                <a:rPr lang="de-DE" sz="1600" b="0" i="1">
                                  <a:latin typeface="Cambria Math"/>
                                  <a:ea typeface="Cambria Math" pitchFamily="18" charset="0"/>
                                </a:rPr>
                                <m:t>𝑑</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Ü</m:t>
                              </m:r>
                              <m:r>
                                <a:rPr lang="de-DE" sz="1600" b="0" i="1">
                                  <a:latin typeface="Cambria Math"/>
                                  <a:ea typeface="Cambria Math" pitchFamily="18" charset="0"/>
                                </a:rPr>
                                <m:t>𝑆</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𝑄</m:t>
                              </m:r>
                            </m:e>
                            <m:sub>
                              <m:r>
                                <a:rPr lang="de-DE" sz="1600" b="0" i="1">
                                  <a:latin typeface="Cambria Math"/>
                                  <a:ea typeface="Cambria Math" pitchFamily="18" charset="0"/>
                                </a:rPr>
                                <m:t>𝑑</m:t>
                              </m:r>
                            </m:sub>
                          </m:sSub>
                          <m:r>
                            <a:rPr lang="de-DE" sz="1600" b="0" i="1">
                              <a:latin typeface="Cambria Math"/>
                              <a:ea typeface="Cambria Math" pitchFamily="18" charset="0"/>
                            </a:rPr>
                            <m:t> ∗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𝑇𝑆</m:t>
                              </m:r>
                              <m:r>
                                <a:rPr lang="de-DE" sz="1600" b="0" i="1">
                                  <a:latin typeface="Cambria Math"/>
                                  <a:ea typeface="Cambria Math" pitchFamily="18" charset="0"/>
                                </a:rPr>
                                <m:t>,</m:t>
                              </m:r>
                              <m:r>
                                <a:rPr lang="de-DE" sz="1600" b="0" i="1">
                                  <a:latin typeface="Cambria Math"/>
                                  <a:ea typeface="Cambria Math" pitchFamily="18" charset="0"/>
                                </a:rPr>
                                <m:t>𝐴𝑁</m:t>
                              </m:r>
                            </m:sub>
                          </m:sSub>
                        </m:e>
                      </m:d>
                    </m:den>
                  </m:f>
                </m:oMath>
              </a14:m>
              <a:r>
                <a:rPr lang="de-DE" sz="1600">
                  <a:latin typeface="Cambria Math" pitchFamily="18" charset="0"/>
                  <a:ea typeface="Cambria Math" pitchFamily="18" charset="0"/>
                </a:rPr>
                <a:t> </a:t>
              </a:r>
            </a:p>
          </xdr:txBody>
        </xdr:sp>
      </mc:Choice>
      <mc:Fallback xmlns="">
        <xdr:sp macro="" textlink="">
          <xdr:nvSpPr>
            <xdr:cNvPr id="12" name="Textfeld 11"/>
            <xdr:cNvSpPr txBox="1"/>
          </xdr:nvSpPr>
          <xdr:spPr>
            <a:xfrm>
              <a:off x="4152900" y="9763125"/>
              <a:ext cx="4838184" cy="50469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𝑡_(𝑇𝑆,𝐵𝑒𝑚)=  𝑀_𝑇𝑆/〖Ü𝑆〗_𝑑 =  (𝑉_𝐵𝐵  ∗ 〖𝑇𝑆〗_𝐵𝐵)/〖Ü𝑆〗_𝑑 =  (𝑉_𝐵𝐵  ∗ 〖𝑇𝑆〗_𝐵𝐵)/((𝑄_(Ü𝑆,𝑑)  ∗ 〖𝑇𝑆〗_Ü𝑆+ 𝑄_𝑑  ∗ 𝑋_(𝑇𝑆,𝐴𝑁) ) )</a:t>
              </a:r>
              <a:r>
                <a:rPr lang="de-DE" sz="1600">
                  <a:latin typeface="Cambria Math" pitchFamily="18" charset="0"/>
                  <a:ea typeface="Cambria Math" pitchFamily="18" charset="0"/>
                </a:rPr>
                <a:t> </a:t>
              </a:r>
            </a:p>
          </xdr:txBody>
        </xdr:sp>
      </mc:Fallback>
    </mc:AlternateContent>
    <xdr:clientData/>
  </xdr:oneCellAnchor>
  <xdr:twoCellAnchor editAs="oneCell">
    <xdr:from>
      <xdr:col>2</xdr:col>
      <xdr:colOff>95250</xdr:colOff>
      <xdr:row>13</xdr:row>
      <xdr:rowOff>209550</xdr:rowOff>
    </xdr:from>
    <xdr:to>
      <xdr:col>3</xdr:col>
      <xdr:colOff>142172</xdr:colOff>
      <xdr:row>50</xdr:row>
      <xdr:rowOff>151399</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7"/>
        <a:stretch>
          <a:fillRect/>
        </a:stretch>
      </xdr:blipFill>
      <xdr:spPr>
        <a:xfrm>
          <a:off x="4095750" y="10915650"/>
          <a:ext cx="5628572" cy="8009524"/>
        </a:xfrm>
        <a:prstGeom prst="rect">
          <a:avLst/>
        </a:prstGeom>
        <a:effectLst>
          <a:glow rad="228600">
            <a:schemeClr val="accent2">
              <a:satMod val="175000"/>
              <a:alpha val="40000"/>
            </a:schemeClr>
          </a:glow>
        </a:effectLst>
      </xdr:spPr>
    </xdr:pic>
    <xdr:clientData/>
  </xdr:twoCellAnchor>
  <xdr:oneCellAnchor>
    <xdr:from>
      <xdr:col>2</xdr:col>
      <xdr:colOff>209550</xdr:colOff>
      <xdr:row>9</xdr:row>
      <xdr:rowOff>142875</xdr:rowOff>
    </xdr:from>
    <xdr:ext cx="3095625" cy="724494"/>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4210050" y="8582025"/>
              <a:ext cx="3095625" cy="72449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100" i="1">
                            <a:latin typeface="Cambria Math" panose="02040503050406030204" pitchFamily="18" charset="0"/>
                          </a:rPr>
                        </m:ctrlPr>
                      </m:sSubPr>
                      <m:e>
                        <m:r>
                          <a:rPr lang="de-DE" sz="1100" b="0" i="1">
                            <a:latin typeface="Cambria Math"/>
                          </a:rPr>
                          <m:t>𝑄</m:t>
                        </m:r>
                      </m:e>
                      <m:sub>
                        <m:r>
                          <a:rPr lang="de-DE" sz="1100" b="0" i="1">
                            <a:latin typeface="Cambria Math"/>
                          </a:rPr>
                          <m:t>Ü</m:t>
                        </m:r>
                        <m:r>
                          <a:rPr lang="de-DE" sz="1100" b="0" i="1">
                            <a:latin typeface="Cambria Math"/>
                          </a:rPr>
                          <m:t>𝑆</m:t>
                        </m:r>
                        <m:r>
                          <a:rPr lang="de-DE" sz="1100" b="0" i="1">
                            <a:latin typeface="Cambria Math"/>
                          </a:rPr>
                          <m:t>,</m:t>
                        </m:r>
                        <m:r>
                          <a:rPr lang="de-DE" sz="1100" b="0" i="1">
                            <a:latin typeface="Cambria Math"/>
                          </a:rPr>
                          <m:t>𝑑</m:t>
                        </m:r>
                      </m:sub>
                    </m:sSub>
                    <m:r>
                      <a:rPr lang="de-DE" sz="1100" b="0" i="1">
                        <a:latin typeface="Cambria Math"/>
                      </a:rPr>
                      <m:t> </m:t>
                    </m:r>
                    <m:r>
                      <a:rPr lang="de-DE" sz="1100" b="0" i="1">
                        <a:latin typeface="Cambria Math"/>
                      </a:rPr>
                      <m:t>𝑖𝑛</m:t>
                    </m:r>
                    <m:r>
                      <a:rPr lang="de-DE" sz="1100" b="0" i="1">
                        <a:latin typeface="Cambria Math"/>
                      </a:rPr>
                      <m:t> </m:t>
                    </m:r>
                    <m:d>
                      <m:dPr>
                        <m:begChr m:val="["/>
                        <m:endChr m:val="]"/>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sSup>
                              <m:sSupPr>
                                <m:ctrlPr>
                                  <a:rPr lang="de-DE" sz="1100" b="0" i="1">
                                    <a:latin typeface="Cambria Math" panose="02040503050406030204" pitchFamily="18" charset="0"/>
                                  </a:rPr>
                                </m:ctrlPr>
                              </m:sSupPr>
                              <m:e>
                                <m:r>
                                  <a:rPr lang="de-DE" sz="1100" b="0" i="1">
                                    <a:latin typeface="Cambria Math"/>
                                  </a:rPr>
                                  <m:t>𝑚</m:t>
                                </m:r>
                              </m:e>
                              <m:sup>
                                <m:r>
                                  <a:rPr lang="de-DE" sz="1100" b="0" i="1">
                                    <a:latin typeface="Cambria Math"/>
                                  </a:rPr>
                                  <m:t>3</m:t>
                                </m:r>
                              </m:sup>
                            </m:sSup>
                          </m:num>
                          <m:den>
                            <m:r>
                              <a:rPr lang="de-DE" sz="1100" b="0" i="1">
                                <a:latin typeface="Cambria Math"/>
                              </a:rPr>
                              <m:t>𝑑</m:t>
                            </m:r>
                          </m:den>
                        </m:f>
                      </m:e>
                    </m:d>
                    <m:r>
                      <a:rPr lang="de-DE" sz="1100" b="0" i="1">
                        <a:latin typeface="Cambria Math"/>
                      </a:rPr>
                      <m:t>=  </m:t>
                    </m:r>
                    <m:f>
                      <m:fPr>
                        <m:ctrlPr>
                          <a:rPr lang="de-DE" sz="1100" b="0" i="1">
                            <a:latin typeface="Cambria Math" panose="02040503050406030204" pitchFamily="18" charset="0"/>
                          </a:rPr>
                        </m:ctrlPr>
                      </m:fPr>
                      <m:num>
                        <m:sSub>
                          <m:sSubPr>
                            <m:ctrlPr>
                              <a:rPr lang="de-DE" sz="1100" b="0" i="1">
                                <a:solidFill>
                                  <a:schemeClr val="tx1"/>
                                </a:solidFill>
                                <a:effectLst/>
                                <a:latin typeface="Cambria Math" panose="02040503050406030204" pitchFamily="18" charset="0"/>
                                <a:ea typeface="+mn-ea"/>
                                <a:cs typeface="+mn-cs"/>
                              </a:rPr>
                            </m:ctrlPr>
                          </m:sSubPr>
                          <m:e>
                            <m:r>
                              <a:rPr lang="de-DE" sz="1100" b="0" i="1">
                                <a:solidFill>
                                  <a:schemeClr val="tx1"/>
                                </a:solidFill>
                                <a:effectLst/>
                                <a:latin typeface="Cambria Math"/>
                                <a:ea typeface="+mn-ea"/>
                                <a:cs typeface="+mn-cs"/>
                              </a:rPr>
                              <m:t>Ü</m:t>
                            </m:r>
                            <m:r>
                              <a:rPr lang="de-DE" sz="1100" b="0" i="1">
                                <a:solidFill>
                                  <a:schemeClr val="tx1"/>
                                </a:solidFill>
                                <a:effectLst/>
                                <a:latin typeface="Cambria Math"/>
                                <a:ea typeface="+mn-ea"/>
                                <a:cs typeface="+mn-cs"/>
                              </a:rPr>
                              <m:t>𝑆</m:t>
                            </m:r>
                          </m:e>
                          <m:sub>
                            <m:r>
                              <a:rPr lang="de-DE" sz="1100" b="0" i="1">
                                <a:solidFill>
                                  <a:schemeClr val="tx1"/>
                                </a:solidFill>
                                <a:effectLst/>
                                <a:latin typeface="Cambria Math"/>
                                <a:ea typeface="+mn-ea"/>
                                <a:cs typeface="+mn-cs"/>
                              </a:rPr>
                              <m:t>𝑑</m:t>
                            </m:r>
                            <m:r>
                              <a:rPr lang="de-DE" sz="1100" b="0" i="1">
                                <a:solidFill>
                                  <a:schemeClr val="tx1"/>
                                </a:solidFill>
                                <a:effectLst/>
                                <a:latin typeface="Cambria Math"/>
                                <a:ea typeface="+mn-ea"/>
                                <a:cs typeface="+mn-cs"/>
                              </a:rPr>
                              <m:t> </m:t>
                            </m:r>
                          </m:sub>
                        </m:sSub>
                        <m:r>
                          <a:rPr lang="de-DE" sz="1100" b="0" i="1">
                            <a:solidFill>
                              <a:schemeClr val="tx1"/>
                            </a:solidFill>
                            <a:effectLst/>
                            <a:latin typeface="Cambria Math"/>
                            <a:ea typeface="+mn-ea"/>
                            <a:cs typeface="+mn-cs"/>
                          </a:rPr>
                          <m:t> </m:t>
                        </m:r>
                        <m:d>
                          <m:dPr>
                            <m:begChr m:val="["/>
                            <m:endChr m:val="]"/>
                            <m:ctrlPr>
                              <a:rPr lang="de-DE" sz="1100" b="0" i="1">
                                <a:solidFill>
                                  <a:schemeClr val="tx1"/>
                                </a:solidFill>
                                <a:effectLst/>
                                <a:latin typeface="Cambria Math" panose="02040503050406030204" pitchFamily="18" charset="0"/>
                                <a:ea typeface="+mn-ea"/>
                                <a:cs typeface="+mn-cs"/>
                              </a:rPr>
                            </m:ctrlPr>
                          </m:dPr>
                          <m:e>
                            <m:f>
                              <m:fPr>
                                <m:ctrlPr>
                                  <a:rPr lang="de-DE" sz="1100" b="0" i="1">
                                    <a:solidFill>
                                      <a:schemeClr val="tx1"/>
                                    </a:solidFill>
                                    <a:effectLst/>
                                    <a:latin typeface="Cambria Math" panose="02040503050406030204" pitchFamily="18" charset="0"/>
                                    <a:ea typeface="+mn-ea"/>
                                    <a:cs typeface="+mn-cs"/>
                                  </a:rPr>
                                </m:ctrlPr>
                              </m:fPr>
                              <m:num>
                                <m:r>
                                  <a:rPr lang="de-DE" sz="1100" b="0" i="1">
                                    <a:solidFill>
                                      <a:schemeClr val="tx1"/>
                                    </a:solidFill>
                                    <a:effectLst/>
                                    <a:latin typeface="Cambria Math"/>
                                    <a:ea typeface="+mn-ea"/>
                                    <a:cs typeface="+mn-cs"/>
                                  </a:rPr>
                                  <m:t>𝑘𝑔</m:t>
                                </m:r>
                                <m:r>
                                  <a:rPr lang="de-DE" sz="1100" b="0" i="1">
                                    <a:solidFill>
                                      <a:schemeClr val="tx1"/>
                                    </a:solidFill>
                                    <a:effectLst/>
                                    <a:latin typeface="Cambria Math"/>
                                    <a:ea typeface="+mn-ea"/>
                                    <a:cs typeface="+mn-cs"/>
                                  </a:rPr>
                                  <m:t> </m:t>
                                </m:r>
                                <m:r>
                                  <a:rPr lang="de-DE" sz="1100" b="0" i="1">
                                    <a:solidFill>
                                      <a:schemeClr val="tx1"/>
                                    </a:solidFill>
                                    <a:effectLst/>
                                    <a:latin typeface="Cambria Math"/>
                                    <a:ea typeface="+mn-ea"/>
                                    <a:cs typeface="+mn-cs"/>
                                  </a:rPr>
                                  <m:t>𝑇𝑆</m:t>
                                </m:r>
                              </m:num>
                              <m:den>
                                <m:r>
                                  <a:rPr lang="de-DE" sz="1100" b="0" i="1">
                                    <a:solidFill>
                                      <a:schemeClr val="tx1"/>
                                    </a:solidFill>
                                    <a:effectLst/>
                                    <a:latin typeface="Cambria Math"/>
                                    <a:ea typeface="+mn-ea"/>
                                    <a:cs typeface="+mn-cs"/>
                                  </a:rPr>
                                  <m:t>𝑑</m:t>
                                </m:r>
                              </m:den>
                            </m:f>
                          </m:e>
                        </m:d>
                      </m:num>
                      <m:den>
                        <m:sSub>
                          <m:sSubPr>
                            <m:ctrlPr>
                              <a:rPr lang="de-DE" sz="1100" b="0" i="1">
                                <a:latin typeface="Cambria Math" panose="02040503050406030204" pitchFamily="18" charset="0"/>
                              </a:rPr>
                            </m:ctrlPr>
                          </m:sSubPr>
                          <m:e>
                            <m:r>
                              <a:rPr lang="de-DE" sz="1100" b="0" i="1">
                                <a:latin typeface="Cambria Math"/>
                              </a:rPr>
                              <m:t>𝑇𝑆</m:t>
                            </m:r>
                          </m:e>
                          <m:sub>
                            <m:r>
                              <a:rPr lang="de-DE" sz="1100" b="0" i="1">
                                <a:latin typeface="Cambria Math"/>
                              </a:rPr>
                              <m:t>Ü</m:t>
                            </m:r>
                            <m:r>
                              <a:rPr lang="de-DE" sz="1100" b="0" i="1">
                                <a:latin typeface="Cambria Math"/>
                              </a:rPr>
                              <m:t>𝑆</m:t>
                            </m:r>
                          </m:sub>
                        </m:sSub>
                        <m:r>
                          <a:rPr lang="de-DE" sz="1100" b="0" i="1">
                            <a:latin typeface="Cambria Math"/>
                          </a:rPr>
                          <m:t> </m:t>
                        </m:r>
                        <m:d>
                          <m:dPr>
                            <m:begChr m:val="["/>
                            <m:endChr m:val="]"/>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r>
                                  <a:rPr lang="de-DE" sz="1100" b="0" i="1">
                                    <a:latin typeface="Cambria Math"/>
                                  </a:rPr>
                                  <m:t>𝑘𝑔</m:t>
                                </m:r>
                                <m:r>
                                  <a:rPr lang="de-DE" sz="1100" b="0" i="1">
                                    <a:latin typeface="Cambria Math"/>
                                  </a:rPr>
                                  <m:t> </m:t>
                                </m:r>
                                <m:r>
                                  <a:rPr lang="de-DE" sz="1100" b="0" i="1">
                                    <a:latin typeface="Cambria Math"/>
                                  </a:rPr>
                                  <m:t>𝑇𝑆</m:t>
                                </m:r>
                              </m:num>
                              <m:den>
                                <m:sSup>
                                  <m:sSupPr>
                                    <m:ctrlPr>
                                      <a:rPr lang="de-DE" sz="1100" b="0" i="1">
                                        <a:latin typeface="Cambria Math" panose="02040503050406030204" pitchFamily="18" charset="0"/>
                                      </a:rPr>
                                    </m:ctrlPr>
                                  </m:sSupPr>
                                  <m:e>
                                    <m:r>
                                      <a:rPr lang="de-DE" sz="1100" b="0" i="1">
                                        <a:latin typeface="Cambria Math"/>
                                      </a:rPr>
                                      <m:t>𝑚</m:t>
                                    </m:r>
                                  </m:e>
                                  <m:sup>
                                    <m:r>
                                      <a:rPr lang="de-DE" sz="1100" b="0" i="1">
                                        <a:latin typeface="Cambria Math"/>
                                      </a:rPr>
                                      <m:t>3</m:t>
                                    </m:r>
                                  </m:sup>
                                </m:sSup>
                                <m:r>
                                  <a:rPr lang="de-DE" sz="1100" b="0" i="1">
                                    <a:latin typeface="Cambria Math"/>
                                  </a:rPr>
                                  <m:t>𝑆𝑐h𝑙𝑎𝑚𝑚𝑤𝑎𝑠𝑠𝑒𝑟</m:t>
                                </m:r>
                              </m:den>
                            </m:f>
                          </m:e>
                        </m:d>
                      </m:den>
                    </m:f>
                    <m:r>
                      <a:rPr lang="de-DE" sz="1100" b="0" i="1">
                        <a:latin typeface="Cambria Math"/>
                      </a:rPr>
                      <m:t> </m:t>
                    </m:r>
                  </m:oMath>
                </m:oMathPara>
              </a14:m>
              <a:endParaRPr lang="de-DE" sz="1100"/>
            </a:p>
          </xdr:txBody>
        </xdr:sp>
      </mc:Choice>
      <mc:Fallback xmlns="">
        <xdr:sp macro="" textlink="">
          <xdr:nvSpPr>
            <xdr:cNvPr id="2" name="Textfeld 1"/>
            <xdr:cNvSpPr txBox="1"/>
          </xdr:nvSpPr>
          <xdr:spPr>
            <a:xfrm>
              <a:off x="4210050" y="8582025"/>
              <a:ext cx="3095625" cy="72449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100" b="0" i="0">
                  <a:latin typeface="Cambria Math"/>
                </a:rPr>
                <a:t>𝑄_(Ü𝑆,𝑑)  𝑖𝑛 [𝑚^3/𝑑]=  </a:t>
              </a:r>
              <a:r>
                <a:rPr lang="de-DE" sz="1100" b="0" i="0">
                  <a:solidFill>
                    <a:schemeClr val="tx1"/>
                  </a:solidFill>
                  <a:effectLst/>
                  <a:latin typeface="+mn-lt"/>
                  <a:ea typeface="+mn-ea"/>
                  <a:cs typeface="+mn-cs"/>
                </a:rPr>
                <a:t> </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a:t>
              </a:r>
              <a:r>
                <a:rPr lang="de-DE" sz="1100" b="0" i="0">
                  <a:solidFill>
                    <a:schemeClr val="tx1"/>
                  </a:solidFill>
                  <a:effectLst/>
                  <a:latin typeface="+mn-lt"/>
                  <a:ea typeface="+mn-ea"/>
                  <a:cs typeface="+mn-cs"/>
                </a:rPr>
                <a:t>Ü𝑆〗_(𝑑 )  [(𝑘𝑔 𝑇𝑆)/𝑑]</a:t>
              </a:r>
              <a:r>
                <a:rPr lang="de-DE" sz="1100" b="0" i="0">
                  <a:solidFill>
                    <a:schemeClr val="tx1"/>
                  </a:solidFill>
                  <a:effectLst/>
                  <a:latin typeface="Cambria Math"/>
                  <a:ea typeface="+mn-ea"/>
                  <a:cs typeface="+mn-cs"/>
                </a:rPr>
                <a:t>)/(〖</a:t>
              </a:r>
              <a:r>
                <a:rPr lang="de-DE" sz="1100" b="0" i="0">
                  <a:latin typeface="Cambria Math"/>
                </a:rPr>
                <a:t>𝑇𝑆〗_Ü𝑆  [(𝑘𝑔 𝑇𝑆)/(𝑚^3 𝑆𝑐ℎ𝑙𝑎𝑚𝑚𝑤𝑎𝑠𝑠𝑒𝑟)] )  </a:t>
              </a:r>
              <a:endParaRPr lang="de-DE" sz="1100"/>
            </a:p>
          </xdr:txBody>
        </xdr:sp>
      </mc:Fallback>
    </mc:AlternateContent>
    <xdr:clientData/>
  </xdr:oneCellAnchor>
  <xdr:oneCellAnchor>
    <xdr:from>
      <xdr:col>2</xdr:col>
      <xdr:colOff>152400</xdr:colOff>
      <xdr:row>11</xdr:row>
      <xdr:rowOff>152400</xdr:rowOff>
    </xdr:from>
    <xdr:ext cx="1378904" cy="336374"/>
    <mc:AlternateContent xmlns:mc="http://schemas.openxmlformats.org/markup-compatibility/2006" xmlns:a14="http://schemas.microsoft.com/office/drawing/2010/main">
      <mc:Choice Requires="a14">
        <xdr:sp macro="" textlink="">
          <xdr:nvSpPr>
            <xdr:cNvPr id="16" name="Textfeld 15">
              <a:extLst>
                <a:ext uri="{FF2B5EF4-FFF2-40B4-BE49-F238E27FC236}">
                  <a16:creationId xmlns:a16="http://schemas.microsoft.com/office/drawing/2014/main" id="{00000000-0008-0000-1300-000010000000}"/>
                </a:ext>
              </a:extLst>
            </xdr:cNvPr>
            <xdr:cNvSpPr txBox="1"/>
          </xdr:nvSpPr>
          <xdr:spPr>
            <a:xfrm>
              <a:off x="4152900" y="10229850"/>
              <a:ext cx="1378904" cy="3363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Ü</m:t>
                      </m:r>
                      <m:r>
                        <a:rPr lang="de-DE" sz="1600" b="0" i="1">
                          <a:latin typeface="Cambria Math"/>
                          <a:ea typeface="Cambria Math" pitchFamily="18" charset="0"/>
                        </a:rPr>
                        <m:t>𝑆</m:t>
                      </m:r>
                    </m:sub>
                  </m:sSub>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𝑇𝑆</m:t>
                      </m:r>
                    </m:e>
                    <m:sub>
                      <m:r>
                        <a:rPr lang="de-DE" sz="1600" b="0" i="1">
                          <a:latin typeface="Cambria Math"/>
                          <a:ea typeface="Cambria Math" pitchFamily="18" charset="0"/>
                        </a:rPr>
                        <m:t>𝑅𝑆</m:t>
                      </m:r>
                    </m:sub>
                  </m:sSub>
                </m:oMath>
              </a14:m>
              <a:r>
                <a:rPr lang="de-DE" sz="1600">
                  <a:latin typeface="Cambria Math" pitchFamily="18" charset="0"/>
                  <a:ea typeface="Cambria Math" pitchFamily="18" charset="0"/>
                </a:rPr>
                <a:t> </a:t>
              </a:r>
            </a:p>
          </xdr:txBody>
        </xdr:sp>
      </mc:Choice>
      <mc:Fallback xmlns="">
        <xdr:sp macro="" textlink="">
          <xdr:nvSpPr>
            <xdr:cNvPr id="16" name="Textfeld 15"/>
            <xdr:cNvSpPr txBox="1"/>
          </xdr:nvSpPr>
          <xdr:spPr>
            <a:xfrm>
              <a:off x="4152900" y="10229850"/>
              <a:ext cx="1378904" cy="3363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i="0">
                  <a:latin typeface="Cambria Math"/>
                  <a:ea typeface="Cambria Math" pitchFamily="18" charset="0"/>
                </a:rPr>
                <a:t>〖</a:t>
              </a:r>
              <a:r>
                <a:rPr lang="de-DE" sz="1600" b="0" i="0">
                  <a:latin typeface="Cambria Math"/>
                  <a:ea typeface="Cambria Math" pitchFamily="18" charset="0"/>
                </a:rPr>
                <a:t>𝑇𝑆〗_Ü𝑆= 〖𝑇𝑆〗_𝑅𝑆</a:t>
              </a:r>
              <a:r>
                <a:rPr lang="de-DE" sz="1600">
                  <a:latin typeface="Cambria Math" pitchFamily="18" charset="0"/>
                  <a:ea typeface="Cambria Math" pitchFamily="18" charset="0"/>
                </a:rPr>
                <a:t> </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1</xdr:row>
      <xdr:rowOff>9529</xdr:rowOff>
    </xdr:from>
    <xdr:to>
      <xdr:col>3</xdr:col>
      <xdr:colOff>20625</xdr:colOff>
      <xdr:row>18</xdr:row>
      <xdr:rowOff>60110</xdr:rowOff>
    </xdr:to>
    <xdr:pic>
      <xdr:nvPicPr>
        <xdr:cNvPr id="9" name="Grafik 8">
          <a:extLst>
            <a:ext uri="{FF2B5EF4-FFF2-40B4-BE49-F238E27FC236}">
              <a16:creationId xmlns:a16="http://schemas.microsoft.com/office/drawing/2014/main" id="{36826443-F6DB-442A-818D-F15585534995}"/>
            </a:ext>
          </a:extLst>
        </xdr:cNvPr>
        <xdr:cNvPicPr>
          <a:picLocks noChangeAspect="1"/>
        </xdr:cNvPicPr>
      </xdr:nvPicPr>
      <xdr:blipFill>
        <a:blip xmlns:r="http://schemas.openxmlformats.org/officeDocument/2006/relationships" r:embed="rId1"/>
        <a:stretch>
          <a:fillRect/>
        </a:stretch>
      </xdr:blipFill>
      <xdr:spPr>
        <a:xfrm>
          <a:off x="9601200" y="657229"/>
          <a:ext cx="5688000" cy="79849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171450</xdr:colOff>
      <xdr:row>2</xdr:row>
      <xdr:rowOff>152400</xdr:rowOff>
    </xdr:from>
    <xdr:ext cx="2733675" cy="542925"/>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657225"/>
          <a:ext cx="2733675" cy="542925"/>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4</xdr:row>
      <xdr:rowOff>104775</xdr:rowOff>
    </xdr:from>
    <xdr:ext cx="1990725" cy="723900"/>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2362200"/>
          <a:ext cx="1990725"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3</xdr:row>
      <xdr:rowOff>66675</xdr:rowOff>
    </xdr:from>
    <xdr:ext cx="3952875" cy="723900"/>
    <xdr:pic>
      <xdr:nvPicPr>
        <xdr:cNvPr id="4" name="Picture 1">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71825" y="2190750"/>
          <a:ext cx="3952875"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7</xdr:row>
      <xdr:rowOff>1016697</xdr:rowOff>
    </xdr:from>
    <xdr:to>
      <xdr:col>2</xdr:col>
      <xdr:colOff>3086100</xdr:colOff>
      <xdr:row>7</xdr:row>
      <xdr:rowOff>1695451</xdr:rowOff>
    </xdr:to>
    <xdr:pic>
      <xdr:nvPicPr>
        <xdr:cNvPr id="5" name="Grafik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95625" y="6817422"/>
          <a:ext cx="2914650" cy="678754"/>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8</xdr:row>
      <xdr:rowOff>219076</xdr:rowOff>
    </xdr:from>
    <xdr:to>
      <xdr:col>2</xdr:col>
      <xdr:colOff>3409103</xdr:colOff>
      <xdr:row>8</xdr:row>
      <xdr:rowOff>828676</xdr:rowOff>
    </xdr:to>
    <xdr:pic>
      <xdr:nvPicPr>
        <xdr:cNvPr id="6" name="Grafik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95625" y="8048626"/>
          <a:ext cx="3237653" cy="60960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142875</xdr:colOff>
      <xdr:row>6</xdr:row>
      <xdr:rowOff>342900</xdr:rowOff>
    </xdr:from>
    <xdr:ext cx="1583575" cy="332912"/>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00000000-0008-0000-1400-000007000000}"/>
                </a:ext>
              </a:extLst>
            </xdr:cNvPr>
            <xdr:cNvSpPr txBox="1"/>
          </xdr:nvSpPr>
          <xdr:spPr>
            <a:xfrm>
              <a:off x="3067050" y="5133975"/>
              <a:ext cx="1583575" cy="33291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r>
                            <a:rPr lang="de-DE" sz="1600" b="0" i="1">
                              <a:latin typeface="Cambria Math"/>
                              <a:ea typeface="Cambria Math" pitchFamily="18" charset="0"/>
                            </a:rPr>
                            <m:t> </m:t>
                          </m:r>
                        </m:sub>
                      </m:sSub>
                      <m:r>
                        <a:rPr lang="de-DE" sz="1600" b="0" i="1">
                          <a:latin typeface="Cambria Math"/>
                          <a:ea typeface="Cambria Math" pitchFamily="18" charset="0"/>
                        </a:rPr>
                        <m:t>=</m:t>
                      </m:r>
                      <m:r>
                        <a:rPr lang="de-DE" sz="1600" b="0" i="1">
                          <a:latin typeface="Cambria Math"/>
                          <a:ea typeface="Cambria Math" pitchFamily="18" charset="0"/>
                        </a:rPr>
                        <m:t>𝑉</m:t>
                      </m:r>
                    </m:e>
                    <m:sub>
                      <m:r>
                        <a:rPr lang="de-DE" sz="1600" b="0" i="1">
                          <a:latin typeface="Cambria Math"/>
                          <a:ea typeface="Cambria Math" pitchFamily="18" charset="0"/>
                        </a:rPr>
                        <m:t>𝑁</m:t>
                      </m:r>
                    </m:sub>
                  </m:sSub>
                  <m:r>
                    <a:rPr lang="de-DE" sz="1600" b="0" i="1">
                      <a:latin typeface="Cambria Math"/>
                      <a:ea typeface="Cambria Math" pitchFamily="18" charset="0"/>
                    </a:rPr>
                    <m:t>+</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𝐷</m:t>
                      </m:r>
                    </m:sub>
                  </m:sSub>
                </m:oMath>
              </a14:m>
              <a:r>
                <a:rPr lang="de-DE" sz="1600">
                  <a:latin typeface="Cambria Math" pitchFamily="18" charset="0"/>
                  <a:ea typeface="Cambria Math" pitchFamily="18" charset="0"/>
                </a:rPr>
                <a:t> </a:t>
              </a:r>
            </a:p>
          </xdr:txBody>
        </xdr:sp>
      </mc:Choice>
      <mc:Fallback xmlns="">
        <xdr:sp macro="" textlink="">
          <xdr:nvSpPr>
            <xdr:cNvPr id="7" name="Textfeld 6"/>
            <xdr:cNvSpPr txBox="1"/>
          </xdr:nvSpPr>
          <xdr:spPr>
            <a:xfrm>
              <a:off x="3067050" y="5133975"/>
              <a:ext cx="1583575" cy="33291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〖𝑉_(𝐵𝐵 )=𝑉〗_𝑁+</a:t>
              </a:r>
              <a:r>
                <a:rPr lang="de-DE" sz="1600" b="0" i="0">
                  <a:latin typeface="Cambria Math" pitchFamily="18" charset="0"/>
                  <a:ea typeface="Cambria Math" pitchFamily="18" charset="0"/>
                </a:rPr>
                <a:t> </a:t>
              </a:r>
              <a:r>
                <a:rPr lang="de-DE" sz="1600" b="0" i="0">
                  <a:latin typeface="Cambria Math"/>
                  <a:ea typeface="Cambria Math" pitchFamily="18" charset="0"/>
                </a:rPr>
                <a:t>𝑉_𝐷</a:t>
              </a:r>
              <a:r>
                <a:rPr lang="de-DE" sz="1600">
                  <a:latin typeface="Cambria Math" pitchFamily="18" charset="0"/>
                  <a:ea typeface="Cambria Math" pitchFamily="18" charset="0"/>
                </a:rPr>
                <a:t> </a:t>
              </a:r>
            </a:p>
          </xdr:txBody>
        </xdr:sp>
      </mc:Fallback>
    </mc:AlternateContent>
    <xdr:clientData/>
  </xdr:oneCellAnchor>
  <xdr:oneCellAnchor>
    <xdr:from>
      <xdr:col>2</xdr:col>
      <xdr:colOff>133350</xdr:colOff>
      <xdr:row>7</xdr:row>
      <xdr:rowOff>266700</xdr:rowOff>
    </xdr:from>
    <xdr:ext cx="2530565" cy="501484"/>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00000000-0008-0000-1400-000008000000}"/>
                </a:ext>
              </a:extLst>
            </xdr:cNvPr>
            <xdr:cNvSpPr txBox="1"/>
          </xdr:nvSpPr>
          <xdr:spPr>
            <a:xfrm>
              <a:off x="3057525" y="6067425"/>
              <a:ext cx="2530565" cy="5014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𝐵</m:t>
                        </m:r>
                      </m:e>
                      <m:sub>
                        <m:r>
                          <a:rPr lang="de-DE" sz="1400" b="0" i="1">
                            <a:latin typeface="Cambria Math"/>
                          </a:rPr>
                          <m:t>𝑅</m:t>
                        </m:r>
                      </m:sub>
                    </m:sSub>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𝐵𝑆𝐵</m:t>
                            </m:r>
                          </m:e>
                          <m:sub>
                            <m:r>
                              <a:rPr lang="de-DE" sz="1400" b="0" i="1">
                                <a:latin typeface="Cambria Math"/>
                              </a:rPr>
                              <m:t>5</m:t>
                            </m:r>
                          </m:sub>
                        </m:sSub>
                        <m:r>
                          <a:rPr lang="de-DE" sz="1400" b="0" i="1">
                            <a:latin typeface="Cambria Math"/>
                          </a:rPr>
                          <m:t>−</m:t>
                        </m:r>
                        <m:r>
                          <a:rPr lang="de-DE" sz="1400" b="0" i="1">
                            <a:latin typeface="Cambria Math"/>
                          </a:rPr>
                          <m:t>𝐹𝑟𝑎𝑐h𝑡</m:t>
                        </m:r>
                        <m:r>
                          <a:rPr lang="de-DE" sz="1400" b="0" i="1">
                            <a:latin typeface="Cambria Math"/>
                          </a:rPr>
                          <m:t> </m:t>
                        </m:r>
                        <m:r>
                          <a:rPr lang="de-DE" sz="1400" b="0" i="1">
                            <a:latin typeface="Cambria Math"/>
                          </a:rPr>
                          <m:t>𝑖𝑛</m:t>
                        </m:r>
                        <m:r>
                          <a:rPr lang="de-DE" sz="1400" b="0" i="1">
                            <a:latin typeface="Cambria Math"/>
                          </a:rPr>
                          <m:t> </m:t>
                        </m:r>
                        <m:r>
                          <a:rPr lang="de-DE" sz="1400" b="0" i="1">
                            <a:latin typeface="Cambria Math"/>
                          </a:rPr>
                          <m:t>𝑘𝑔</m:t>
                        </m:r>
                        <m:r>
                          <a:rPr lang="de-DE" sz="1400" b="0" i="1">
                            <a:latin typeface="Cambria Math"/>
                          </a:rPr>
                          <m:t>/</m:t>
                        </m:r>
                        <m:r>
                          <a:rPr lang="de-DE" sz="1400" b="0" i="1">
                            <a:latin typeface="Cambria Math"/>
                          </a:rPr>
                          <m:t>𝑑</m:t>
                        </m:r>
                      </m:num>
                      <m:den>
                        <m:sSup>
                          <m:sSupPr>
                            <m:ctrlPr>
                              <a:rPr lang="de-DE" sz="1400" b="0" i="1">
                                <a:latin typeface="Cambria Math" panose="02040503050406030204" pitchFamily="18" charset="0"/>
                              </a:rPr>
                            </m:ctrlPr>
                          </m:sSupPr>
                          <m:e>
                            <m:r>
                              <a:rPr lang="de-DE" sz="1400" b="0" i="1">
                                <a:latin typeface="Cambria Math"/>
                              </a:rPr>
                              <m:t>𝑚</m:t>
                            </m:r>
                          </m:e>
                          <m:sup>
                            <m:r>
                              <a:rPr lang="de-DE" sz="1400" b="0" i="1">
                                <a:latin typeface="Cambria Math"/>
                              </a:rPr>
                              <m:t>3</m:t>
                            </m:r>
                          </m:sup>
                        </m:sSup>
                        <m:r>
                          <a:rPr lang="de-DE" sz="1400" b="0" i="1">
                            <a:latin typeface="Cambria Math"/>
                          </a:rPr>
                          <m:t>−</m:t>
                        </m:r>
                        <m:r>
                          <a:rPr lang="de-DE" sz="1400" b="0" i="1">
                            <a:latin typeface="Cambria Math"/>
                          </a:rPr>
                          <m:t>𝐵𝑒𝑐𝑘𝑒𝑛𝑣𝑜𝑙𝑢𝑚𝑒𝑛</m:t>
                        </m:r>
                      </m:den>
                    </m:f>
                  </m:oMath>
                </m:oMathPara>
              </a14:m>
              <a:endParaRPr lang="de-DE" sz="1400"/>
            </a:p>
          </xdr:txBody>
        </xdr:sp>
      </mc:Choice>
      <mc:Fallback xmlns="">
        <xdr:sp macro="" textlink="">
          <xdr:nvSpPr>
            <xdr:cNvPr id="8" name="Textfeld 7"/>
            <xdr:cNvSpPr txBox="1"/>
          </xdr:nvSpPr>
          <xdr:spPr>
            <a:xfrm>
              <a:off x="3057525" y="6067425"/>
              <a:ext cx="2530565" cy="5014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b="0" i="0">
                  <a:latin typeface="Cambria Math"/>
                </a:rPr>
                <a:t>𝐵_𝑅=  (〖𝐵𝑆𝐵〗_5−𝐹𝑟𝑎𝑐ℎ𝑡 𝑖𝑛 𝑘𝑔/𝑑)/(𝑚^3−𝐵𝑒𝑐𝑘𝑒𝑛𝑣𝑜𝑙𝑢𝑚𝑒𝑛)</a:t>
              </a:r>
              <a:endParaRPr lang="de-DE" sz="1400"/>
            </a:p>
          </xdr:txBody>
        </xdr:sp>
      </mc:Fallback>
    </mc:AlternateContent>
    <xdr:clientData/>
  </xdr:oneCellAnchor>
  <xdr:oneCellAnchor>
    <xdr:from>
      <xdr:col>2</xdr:col>
      <xdr:colOff>180975</xdr:colOff>
      <xdr:row>9</xdr:row>
      <xdr:rowOff>257175</xdr:rowOff>
    </xdr:from>
    <xdr:ext cx="2397708" cy="548483"/>
    <mc:AlternateContent xmlns:mc="http://schemas.openxmlformats.org/markup-compatibility/2006" xmlns:a14="http://schemas.microsoft.com/office/drawing/2010/main">
      <mc:Choice Requires="a14">
        <xdr:sp macro="" textlink="">
          <xdr:nvSpPr>
            <xdr:cNvPr id="9" name="Textfeld 8">
              <a:extLst>
                <a:ext uri="{FF2B5EF4-FFF2-40B4-BE49-F238E27FC236}">
                  <a16:creationId xmlns:a16="http://schemas.microsoft.com/office/drawing/2014/main" id="{00000000-0008-0000-1400-000009000000}"/>
                </a:ext>
              </a:extLst>
            </xdr:cNvPr>
            <xdr:cNvSpPr txBox="1"/>
          </xdr:nvSpPr>
          <xdr:spPr>
            <a:xfrm>
              <a:off x="3105150" y="9096375"/>
              <a:ext cx="2397708" cy="548483"/>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𝐵</m:t>
                        </m:r>
                      </m:e>
                      <m:sub>
                        <m:r>
                          <a:rPr lang="de-DE" sz="1400" b="0" i="1">
                            <a:latin typeface="Cambria Math"/>
                          </a:rPr>
                          <m:t>𝑇𝑆</m:t>
                        </m:r>
                      </m:sub>
                    </m:sSub>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m:t>
                            </m:r>
                          </m:e>
                          <m:sub>
                            <m:r>
                              <a:rPr lang="de-DE" sz="1400" b="0" i="1">
                                <a:latin typeface="Cambria Math"/>
                              </a:rPr>
                              <m:t>𝑑</m:t>
                            </m:r>
                            <m:r>
                              <a:rPr lang="de-DE" sz="1400" b="0" i="1">
                                <a:latin typeface="Cambria Math"/>
                              </a:rPr>
                              <m:t>,</m:t>
                            </m:r>
                            <m:r>
                              <a:rPr lang="de-DE" sz="1400" b="0" i="1">
                                <a:latin typeface="Cambria Math"/>
                              </a:rPr>
                              <m:t>𝐵𝑆𝐵</m:t>
                            </m:r>
                          </m:sub>
                        </m:sSub>
                      </m:num>
                      <m:den>
                        <m:sSub>
                          <m:sSubPr>
                            <m:ctrlPr>
                              <a:rPr lang="de-DE" sz="1400" b="0" i="1">
                                <a:latin typeface="Cambria Math" panose="02040503050406030204" pitchFamily="18" charset="0"/>
                              </a:rPr>
                            </m:ctrlPr>
                          </m:sSubPr>
                          <m:e>
                            <m:r>
                              <a:rPr lang="de-DE" sz="1400" b="0" i="1">
                                <a:latin typeface="Cambria Math"/>
                              </a:rPr>
                              <m:t>𝑀</m:t>
                            </m:r>
                          </m:e>
                          <m:sub>
                            <m:r>
                              <a:rPr lang="de-DE" sz="1400" b="0" i="1">
                                <a:latin typeface="Cambria Math"/>
                              </a:rPr>
                              <m:t>𝑇𝑆</m:t>
                            </m:r>
                            <m:r>
                              <a:rPr lang="de-DE" sz="1400" b="0" i="1">
                                <a:latin typeface="Cambria Math"/>
                              </a:rPr>
                              <m:t>,</m:t>
                            </m:r>
                            <m:r>
                              <a:rPr lang="de-DE" sz="1400" b="0" i="1">
                                <a:latin typeface="Cambria Math"/>
                              </a:rPr>
                              <m:t>𝐵𝐵</m:t>
                            </m:r>
                          </m:sub>
                        </m:sSub>
                      </m:den>
                    </m:f>
                    <m:r>
                      <a:rPr lang="de-DE" sz="1400" b="0" i="1">
                        <a:latin typeface="Cambria Math"/>
                      </a:rPr>
                      <m:t>=</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m:t>
                            </m:r>
                          </m:e>
                          <m:sub>
                            <m:r>
                              <a:rPr lang="de-DE" sz="1400" b="0" i="1">
                                <a:latin typeface="Cambria Math"/>
                              </a:rPr>
                              <m:t>𝑑</m:t>
                            </m:r>
                            <m:r>
                              <a:rPr lang="de-DE" sz="1400" b="0" i="1">
                                <a:latin typeface="Cambria Math"/>
                              </a:rPr>
                              <m:t>,</m:t>
                            </m:r>
                            <m:r>
                              <a:rPr lang="de-DE" sz="1400" b="0" i="1">
                                <a:latin typeface="Cambria Math"/>
                              </a:rPr>
                              <m:t>𝐵𝑆𝐵</m:t>
                            </m:r>
                          </m:sub>
                        </m:sSub>
                      </m:num>
                      <m:den>
                        <m:sSub>
                          <m:sSubPr>
                            <m:ctrlPr>
                              <a:rPr lang="de-DE" sz="1400" b="0" i="1">
                                <a:latin typeface="Cambria Math" panose="02040503050406030204" pitchFamily="18" charset="0"/>
                              </a:rPr>
                            </m:ctrlPr>
                          </m:sSubPr>
                          <m:e>
                            <m:r>
                              <a:rPr lang="de-DE" sz="1400" b="0" i="1">
                                <a:latin typeface="Cambria Math"/>
                              </a:rPr>
                              <m:t>𝑉</m:t>
                            </m:r>
                          </m:e>
                          <m:sub>
                            <m:r>
                              <a:rPr lang="de-DE" sz="1400" b="0" i="1">
                                <a:latin typeface="Cambria Math"/>
                              </a:rPr>
                              <m:t>𝐵𝐵</m:t>
                            </m:r>
                          </m:sub>
                        </m:sSub>
                        <m:r>
                          <a:rPr lang="de-DE" sz="1400" b="0" i="1">
                            <a:latin typeface="Cambria Math"/>
                          </a:rPr>
                          <m:t>∗ </m:t>
                        </m:r>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9" name="Textfeld 8"/>
            <xdr:cNvSpPr txBox="1"/>
          </xdr:nvSpPr>
          <xdr:spPr>
            <a:xfrm>
              <a:off x="3105150" y="9096375"/>
              <a:ext cx="2397708" cy="548483"/>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b="0" i="0">
                  <a:latin typeface="Cambria Math"/>
                </a:rPr>
                <a:t>𝐵_𝑇𝑆=  𝐵_(𝑑,𝐵𝑆𝐵)/𝑀_(𝑇𝑆,𝐵𝐵) =𝐵_(𝑑,𝐵𝑆𝐵)/(𝑉_𝐵𝐵∗ 〖𝑇𝑆〗_𝐵𝐵 )</a:t>
              </a:r>
              <a:endParaRPr lang="de-DE" sz="1400"/>
            </a:p>
          </xdr:txBody>
        </xdr:sp>
      </mc:Fallback>
    </mc:AlternateContent>
    <xdr:clientData/>
  </xdr:oneCellAnchor>
  <xdr:oneCellAnchor>
    <xdr:from>
      <xdr:col>2</xdr:col>
      <xdr:colOff>142875</xdr:colOff>
      <xdr:row>5</xdr:row>
      <xdr:rowOff>142875</xdr:rowOff>
    </xdr:from>
    <xdr:ext cx="1676400" cy="628651"/>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1400-00000A000000}"/>
                </a:ext>
              </a:extLst>
            </xdr:cNvPr>
            <xdr:cNvSpPr txBox="1"/>
          </xdr:nvSpPr>
          <xdr:spPr>
            <a:xfrm>
              <a:off x="3067050" y="3667125"/>
              <a:ext cx="1676400"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𝑉</m:t>
                        </m:r>
                      </m:e>
                      <m:sub>
                        <m:r>
                          <a:rPr lang="de-DE" sz="1400" b="0" i="1">
                            <a:latin typeface="Cambria Math"/>
                          </a:rPr>
                          <m:t>𝐵𝐵</m:t>
                        </m:r>
                      </m:sub>
                    </m:sSub>
                    <m:r>
                      <a:rPr lang="de-DE" sz="1400" b="0" i="1">
                        <a:latin typeface="Cambria Math"/>
                        <a:ea typeface="Cambria Math"/>
                      </a:rPr>
                      <m:t>≥</m:t>
                    </m:r>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Ü</m:t>
                            </m:r>
                            <m:r>
                              <a:rPr lang="de-DE" sz="1400" b="0" i="1">
                                <a:latin typeface="Cambria Math"/>
                              </a:rPr>
                              <m:t>𝑆</m:t>
                            </m:r>
                          </m:e>
                          <m:sub>
                            <m:r>
                              <a:rPr lang="de-DE" sz="1400" b="0" i="1">
                                <a:latin typeface="Cambria Math"/>
                              </a:rPr>
                              <m:t>𝑑</m:t>
                            </m:r>
                          </m:sub>
                        </m:sSub>
                        <m:r>
                          <a:rPr lang="de-DE" sz="1400" b="0" i="1">
                            <a:latin typeface="Cambria Math"/>
                          </a:rPr>
                          <m:t> ∗ </m:t>
                        </m:r>
                        <m:sSub>
                          <m:sSubPr>
                            <m:ctrlPr>
                              <a:rPr lang="de-DE" sz="1400" b="0" i="1">
                                <a:latin typeface="Cambria Math" panose="02040503050406030204" pitchFamily="18" charset="0"/>
                              </a:rPr>
                            </m:ctrlPr>
                          </m:sSubPr>
                          <m:e>
                            <m:r>
                              <a:rPr lang="de-DE" sz="1400" b="0" i="1">
                                <a:latin typeface="Cambria Math"/>
                              </a:rPr>
                              <m:t>𝑡</m:t>
                            </m:r>
                          </m:e>
                          <m:sub>
                            <m:r>
                              <a:rPr lang="de-DE" sz="1400" b="0" i="1">
                                <a:latin typeface="Cambria Math"/>
                              </a:rPr>
                              <m:t>𝑇𝑆</m:t>
                            </m:r>
                          </m:sub>
                        </m:sSub>
                      </m:num>
                      <m:den>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10" name="Textfeld 9"/>
            <xdr:cNvSpPr txBox="1"/>
          </xdr:nvSpPr>
          <xdr:spPr>
            <a:xfrm>
              <a:off x="3067050" y="3667125"/>
              <a:ext cx="1676400"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r>
                <a:rPr lang="de-DE" sz="1400" b="0" i="0">
                  <a:latin typeface="Cambria Math"/>
                </a:rPr>
                <a:t>𝑉_𝐵𝐵</a:t>
              </a:r>
              <a:r>
                <a:rPr lang="de-DE" sz="1400" b="0" i="0">
                  <a:latin typeface="Cambria Math"/>
                  <a:ea typeface="Cambria Math"/>
                </a:rPr>
                <a:t>≥</a:t>
              </a:r>
              <a:r>
                <a:rPr lang="de-DE" sz="1400" b="0" i="0">
                  <a:latin typeface="Cambria Math"/>
                </a:rPr>
                <a:t>  (〖Ü𝑆〗_𝑑  ∗ 𝑡_𝑇𝑆)/〖𝑇𝑆〗_𝐵𝐵 </a:t>
              </a:r>
              <a:endParaRPr lang="de-DE" sz="14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2</xdr:col>
      <xdr:colOff>171450</xdr:colOff>
      <xdr:row>2</xdr:row>
      <xdr:rowOff>152400</xdr:rowOff>
    </xdr:from>
    <xdr:ext cx="2733675" cy="542925"/>
    <xdr:pic>
      <xdr:nvPicPr>
        <xdr:cNvPr id="4" name="Picture 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5" y="657225"/>
          <a:ext cx="2733675" cy="542925"/>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4</xdr:row>
      <xdr:rowOff>104775</xdr:rowOff>
    </xdr:from>
    <xdr:ext cx="1990725" cy="723900"/>
    <xdr:pic>
      <xdr:nvPicPr>
        <xdr:cNvPr id="5" name="Picture 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2362200"/>
          <a:ext cx="1990725"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171450</xdr:colOff>
      <xdr:row>3</xdr:row>
      <xdr:rowOff>66675</xdr:rowOff>
    </xdr:from>
    <xdr:ext cx="3952875" cy="723900"/>
    <xdr:pic>
      <xdr:nvPicPr>
        <xdr:cNvPr id="11" name="Picture 1">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71825" y="1333500"/>
          <a:ext cx="3952875" cy="723900"/>
        </a:xfrm>
        <a:prstGeom prst="rect">
          <a:avLst/>
        </a:prstGeom>
        <a:noFill/>
        <a:ln>
          <a:noFill/>
        </a:ln>
        <a:effectLst>
          <a:glow rad="1016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7</xdr:row>
      <xdr:rowOff>1007172</xdr:rowOff>
    </xdr:from>
    <xdr:to>
      <xdr:col>2</xdr:col>
      <xdr:colOff>3086100</xdr:colOff>
      <xdr:row>7</xdr:row>
      <xdr:rowOff>1685926</xdr:rowOff>
    </xdr:to>
    <xdr:pic>
      <xdr:nvPicPr>
        <xdr:cNvPr id="6" name="Grafik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71825" y="6560247"/>
          <a:ext cx="2914650" cy="678754"/>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8</xdr:row>
      <xdr:rowOff>219076</xdr:rowOff>
    </xdr:from>
    <xdr:to>
      <xdr:col>2</xdr:col>
      <xdr:colOff>3409103</xdr:colOff>
      <xdr:row>8</xdr:row>
      <xdr:rowOff>828676</xdr:rowOff>
    </xdr:to>
    <xdr:pic>
      <xdr:nvPicPr>
        <xdr:cNvPr id="7" name="Grafik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95625" y="4752976"/>
          <a:ext cx="3237653" cy="60960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142875</xdr:colOff>
      <xdr:row>6</xdr:row>
      <xdr:rowOff>342900</xdr:rowOff>
    </xdr:from>
    <xdr:ext cx="1583575" cy="332912"/>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00000000-0008-0000-1500-000008000000}"/>
                </a:ext>
              </a:extLst>
            </xdr:cNvPr>
            <xdr:cNvSpPr txBox="1"/>
          </xdr:nvSpPr>
          <xdr:spPr>
            <a:xfrm>
              <a:off x="3067050" y="5133975"/>
              <a:ext cx="1583575" cy="33291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𝐵𝐵</m:t>
                          </m:r>
                          <m:r>
                            <a:rPr lang="de-DE" sz="1600" b="0" i="1">
                              <a:latin typeface="Cambria Math"/>
                              <a:ea typeface="Cambria Math" pitchFamily="18" charset="0"/>
                            </a:rPr>
                            <m:t> </m:t>
                          </m:r>
                        </m:sub>
                      </m:sSub>
                      <m:r>
                        <a:rPr lang="de-DE" sz="1600" b="0" i="1">
                          <a:latin typeface="Cambria Math"/>
                          <a:ea typeface="Cambria Math" pitchFamily="18" charset="0"/>
                        </a:rPr>
                        <m:t>=</m:t>
                      </m:r>
                      <m:r>
                        <a:rPr lang="de-DE" sz="1600" b="0" i="1">
                          <a:latin typeface="Cambria Math"/>
                          <a:ea typeface="Cambria Math" pitchFamily="18" charset="0"/>
                        </a:rPr>
                        <m:t>𝑉</m:t>
                      </m:r>
                    </m:e>
                    <m:sub>
                      <m:r>
                        <a:rPr lang="de-DE" sz="1600" b="0" i="1">
                          <a:latin typeface="Cambria Math"/>
                          <a:ea typeface="Cambria Math" pitchFamily="18" charset="0"/>
                        </a:rPr>
                        <m:t>𝑁</m:t>
                      </m:r>
                    </m:sub>
                  </m:sSub>
                  <m:r>
                    <a:rPr lang="de-DE" sz="1600" b="0" i="1">
                      <a:latin typeface="Cambria Math"/>
                      <a:ea typeface="Cambria Math" pitchFamily="18" charset="0"/>
                    </a:rPr>
                    <m:t>+</m:t>
                  </m:r>
                  <m:r>
                    <a:rPr lang="de-DE" sz="1600" b="0" i="1">
                      <a:latin typeface="Cambria Math" pitchFamily="18" charset="0"/>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𝑉</m:t>
                      </m:r>
                    </m:e>
                    <m:sub>
                      <m:r>
                        <a:rPr lang="de-DE" sz="1600" b="0" i="1">
                          <a:latin typeface="Cambria Math"/>
                          <a:ea typeface="Cambria Math" pitchFamily="18" charset="0"/>
                        </a:rPr>
                        <m:t>𝐷</m:t>
                      </m:r>
                    </m:sub>
                  </m:sSub>
                </m:oMath>
              </a14:m>
              <a:r>
                <a:rPr lang="de-DE" sz="1600">
                  <a:latin typeface="Cambria Math" pitchFamily="18" charset="0"/>
                  <a:ea typeface="Cambria Math" pitchFamily="18" charset="0"/>
                </a:rPr>
                <a:t> </a:t>
              </a:r>
            </a:p>
          </xdr:txBody>
        </xdr:sp>
      </mc:Choice>
      <mc:Fallback xmlns="">
        <xdr:sp macro="" textlink="">
          <xdr:nvSpPr>
            <xdr:cNvPr id="8" name="Textfeld 7"/>
            <xdr:cNvSpPr txBox="1"/>
          </xdr:nvSpPr>
          <xdr:spPr>
            <a:xfrm>
              <a:off x="3067050" y="5133975"/>
              <a:ext cx="1583575" cy="33291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〖𝑉_(𝐵𝐵 )=𝑉〗_𝑁+</a:t>
              </a:r>
              <a:r>
                <a:rPr lang="de-DE" sz="1600" b="0" i="0">
                  <a:latin typeface="Cambria Math" pitchFamily="18" charset="0"/>
                  <a:ea typeface="Cambria Math" pitchFamily="18" charset="0"/>
                </a:rPr>
                <a:t> </a:t>
              </a:r>
              <a:r>
                <a:rPr lang="de-DE" sz="1600" b="0" i="0">
                  <a:latin typeface="Cambria Math"/>
                  <a:ea typeface="Cambria Math" pitchFamily="18" charset="0"/>
                </a:rPr>
                <a:t>𝑉_𝐷</a:t>
              </a:r>
              <a:r>
                <a:rPr lang="de-DE" sz="1600">
                  <a:latin typeface="Cambria Math" pitchFamily="18" charset="0"/>
                  <a:ea typeface="Cambria Math" pitchFamily="18" charset="0"/>
                </a:rPr>
                <a:t> </a:t>
              </a:r>
            </a:p>
          </xdr:txBody>
        </xdr:sp>
      </mc:Fallback>
    </mc:AlternateContent>
    <xdr:clientData/>
  </xdr:oneCellAnchor>
  <xdr:oneCellAnchor>
    <xdr:from>
      <xdr:col>2</xdr:col>
      <xdr:colOff>133350</xdr:colOff>
      <xdr:row>7</xdr:row>
      <xdr:rowOff>266700</xdr:rowOff>
    </xdr:from>
    <xdr:ext cx="2530565" cy="501484"/>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3057525" y="6067425"/>
              <a:ext cx="2530565" cy="5014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𝐵</m:t>
                        </m:r>
                      </m:e>
                      <m:sub>
                        <m:r>
                          <a:rPr lang="de-DE" sz="1400" b="0" i="1">
                            <a:latin typeface="Cambria Math"/>
                          </a:rPr>
                          <m:t>𝑅</m:t>
                        </m:r>
                      </m:sub>
                    </m:sSub>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𝐵𝑆𝐵</m:t>
                            </m:r>
                          </m:e>
                          <m:sub>
                            <m:r>
                              <a:rPr lang="de-DE" sz="1400" b="0" i="1">
                                <a:latin typeface="Cambria Math"/>
                              </a:rPr>
                              <m:t>5</m:t>
                            </m:r>
                          </m:sub>
                        </m:sSub>
                        <m:r>
                          <a:rPr lang="de-DE" sz="1400" b="0" i="1">
                            <a:latin typeface="Cambria Math"/>
                          </a:rPr>
                          <m:t>−</m:t>
                        </m:r>
                        <m:r>
                          <a:rPr lang="de-DE" sz="1400" b="0" i="1">
                            <a:latin typeface="Cambria Math"/>
                          </a:rPr>
                          <m:t>𝐹𝑟𝑎𝑐h𝑡</m:t>
                        </m:r>
                        <m:r>
                          <a:rPr lang="de-DE" sz="1400" b="0" i="1">
                            <a:latin typeface="Cambria Math"/>
                          </a:rPr>
                          <m:t> </m:t>
                        </m:r>
                        <m:r>
                          <a:rPr lang="de-DE" sz="1400" b="0" i="1">
                            <a:latin typeface="Cambria Math"/>
                          </a:rPr>
                          <m:t>𝑖𝑛</m:t>
                        </m:r>
                        <m:r>
                          <a:rPr lang="de-DE" sz="1400" b="0" i="1">
                            <a:latin typeface="Cambria Math"/>
                          </a:rPr>
                          <m:t> </m:t>
                        </m:r>
                        <m:r>
                          <a:rPr lang="de-DE" sz="1400" b="0" i="1">
                            <a:latin typeface="Cambria Math"/>
                          </a:rPr>
                          <m:t>𝑘𝑔</m:t>
                        </m:r>
                        <m:r>
                          <a:rPr lang="de-DE" sz="1400" b="0" i="1">
                            <a:latin typeface="Cambria Math"/>
                          </a:rPr>
                          <m:t>/</m:t>
                        </m:r>
                        <m:r>
                          <a:rPr lang="de-DE" sz="1400" b="0" i="1">
                            <a:latin typeface="Cambria Math"/>
                          </a:rPr>
                          <m:t>𝑑</m:t>
                        </m:r>
                      </m:num>
                      <m:den>
                        <m:sSup>
                          <m:sSupPr>
                            <m:ctrlPr>
                              <a:rPr lang="de-DE" sz="1400" b="0" i="1">
                                <a:latin typeface="Cambria Math" panose="02040503050406030204" pitchFamily="18" charset="0"/>
                              </a:rPr>
                            </m:ctrlPr>
                          </m:sSupPr>
                          <m:e>
                            <m:r>
                              <a:rPr lang="de-DE" sz="1400" b="0" i="1">
                                <a:latin typeface="Cambria Math"/>
                              </a:rPr>
                              <m:t>𝑚</m:t>
                            </m:r>
                          </m:e>
                          <m:sup>
                            <m:r>
                              <a:rPr lang="de-DE" sz="1400" b="0" i="1">
                                <a:latin typeface="Cambria Math"/>
                              </a:rPr>
                              <m:t>3</m:t>
                            </m:r>
                          </m:sup>
                        </m:sSup>
                        <m:r>
                          <a:rPr lang="de-DE" sz="1400" b="0" i="1">
                            <a:latin typeface="Cambria Math"/>
                          </a:rPr>
                          <m:t>−</m:t>
                        </m:r>
                        <m:r>
                          <a:rPr lang="de-DE" sz="1400" b="0" i="1">
                            <a:latin typeface="Cambria Math"/>
                          </a:rPr>
                          <m:t>𝐵𝑒𝑐𝑘𝑒𝑛𝑣𝑜𝑙𝑢𝑚𝑒𝑛</m:t>
                        </m:r>
                      </m:den>
                    </m:f>
                  </m:oMath>
                </m:oMathPara>
              </a14:m>
              <a:endParaRPr lang="de-DE" sz="1400"/>
            </a:p>
          </xdr:txBody>
        </xdr:sp>
      </mc:Choice>
      <mc:Fallback xmlns="">
        <xdr:sp macro="" textlink="">
          <xdr:nvSpPr>
            <xdr:cNvPr id="2" name="Textfeld 1"/>
            <xdr:cNvSpPr txBox="1"/>
          </xdr:nvSpPr>
          <xdr:spPr>
            <a:xfrm>
              <a:off x="3057525" y="6067425"/>
              <a:ext cx="2530565" cy="50148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b="0" i="0">
                  <a:latin typeface="Cambria Math"/>
                </a:rPr>
                <a:t>𝐵_𝑅=  (〖𝐵𝑆𝐵〗_5−𝐹𝑟𝑎𝑐ℎ𝑡 𝑖𝑛 𝑘𝑔/𝑑)/(𝑚^3−𝐵𝑒𝑐𝑘𝑒𝑛𝑣𝑜𝑙𝑢𝑚𝑒𝑛)</a:t>
              </a:r>
              <a:endParaRPr lang="de-DE" sz="1400"/>
            </a:p>
          </xdr:txBody>
        </xdr:sp>
      </mc:Fallback>
    </mc:AlternateContent>
    <xdr:clientData/>
  </xdr:oneCellAnchor>
  <xdr:oneCellAnchor>
    <xdr:from>
      <xdr:col>2</xdr:col>
      <xdr:colOff>180975</xdr:colOff>
      <xdr:row>9</xdr:row>
      <xdr:rowOff>257175</xdr:rowOff>
    </xdr:from>
    <xdr:ext cx="2397708" cy="548483"/>
    <mc:AlternateContent xmlns:mc="http://schemas.openxmlformats.org/markup-compatibility/2006" xmlns:a14="http://schemas.microsoft.com/office/drawing/2010/main">
      <mc:Choice Requires="a14">
        <xdr:sp macro="" textlink="">
          <xdr:nvSpPr>
            <xdr:cNvPr id="9" name="Textfeld 8">
              <a:extLst>
                <a:ext uri="{FF2B5EF4-FFF2-40B4-BE49-F238E27FC236}">
                  <a16:creationId xmlns:a16="http://schemas.microsoft.com/office/drawing/2014/main" id="{00000000-0008-0000-1500-000009000000}"/>
                </a:ext>
              </a:extLst>
            </xdr:cNvPr>
            <xdr:cNvSpPr txBox="1"/>
          </xdr:nvSpPr>
          <xdr:spPr>
            <a:xfrm>
              <a:off x="3105150" y="9096375"/>
              <a:ext cx="2397708" cy="548483"/>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𝐵</m:t>
                        </m:r>
                      </m:e>
                      <m:sub>
                        <m:r>
                          <a:rPr lang="de-DE" sz="1400" b="0" i="1">
                            <a:latin typeface="Cambria Math"/>
                          </a:rPr>
                          <m:t>𝑇𝑆</m:t>
                        </m:r>
                      </m:sub>
                    </m:sSub>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m:t>
                            </m:r>
                          </m:e>
                          <m:sub>
                            <m:r>
                              <a:rPr lang="de-DE" sz="1400" b="0" i="1">
                                <a:latin typeface="Cambria Math"/>
                              </a:rPr>
                              <m:t>𝑑</m:t>
                            </m:r>
                            <m:r>
                              <a:rPr lang="de-DE" sz="1400" b="0" i="1">
                                <a:latin typeface="Cambria Math"/>
                              </a:rPr>
                              <m:t>,</m:t>
                            </m:r>
                            <m:r>
                              <a:rPr lang="de-DE" sz="1400" b="0" i="1">
                                <a:latin typeface="Cambria Math"/>
                              </a:rPr>
                              <m:t>𝐵𝑆𝐵</m:t>
                            </m:r>
                          </m:sub>
                        </m:sSub>
                      </m:num>
                      <m:den>
                        <m:sSub>
                          <m:sSubPr>
                            <m:ctrlPr>
                              <a:rPr lang="de-DE" sz="1400" b="0" i="1">
                                <a:latin typeface="Cambria Math" panose="02040503050406030204" pitchFamily="18" charset="0"/>
                              </a:rPr>
                            </m:ctrlPr>
                          </m:sSubPr>
                          <m:e>
                            <m:r>
                              <a:rPr lang="de-DE" sz="1400" b="0" i="1">
                                <a:latin typeface="Cambria Math"/>
                              </a:rPr>
                              <m:t>𝑀</m:t>
                            </m:r>
                          </m:e>
                          <m:sub>
                            <m:r>
                              <a:rPr lang="de-DE" sz="1400" b="0" i="1">
                                <a:latin typeface="Cambria Math"/>
                              </a:rPr>
                              <m:t>𝑇𝑆</m:t>
                            </m:r>
                            <m:r>
                              <a:rPr lang="de-DE" sz="1400" b="0" i="1">
                                <a:latin typeface="Cambria Math"/>
                              </a:rPr>
                              <m:t>,</m:t>
                            </m:r>
                            <m:r>
                              <a:rPr lang="de-DE" sz="1400" b="0" i="1">
                                <a:latin typeface="Cambria Math"/>
                              </a:rPr>
                              <m:t>𝐵𝐵</m:t>
                            </m:r>
                          </m:sub>
                        </m:sSub>
                      </m:den>
                    </m:f>
                    <m:r>
                      <a:rPr lang="de-DE" sz="1400" b="0" i="1">
                        <a:latin typeface="Cambria Math"/>
                      </a:rPr>
                      <m:t>=</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𝐵</m:t>
                            </m:r>
                          </m:e>
                          <m:sub>
                            <m:r>
                              <a:rPr lang="de-DE" sz="1400" b="0" i="1">
                                <a:latin typeface="Cambria Math"/>
                              </a:rPr>
                              <m:t>𝑑</m:t>
                            </m:r>
                            <m:r>
                              <a:rPr lang="de-DE" sz="1400" b="0" i="1">
                                <a:latin typeface="Cambria Math"/>
                              </a:rPr>
                              <m:t>,</m:t>
                            </m:r>
                            <m:r>
                              <a:rPr lang="de-DE" sz="1400" b="0" i="1">
                                <a:latin typeface="Cambria Math"/>
                              </a:rPr>
                              <m:t>𝐵𝑆𝐵</m:t>
                            </m:r>
                          </m:sub>
                        </m:sSub>
                      </m:num>
                      <m:den>
                        <m:sSub>
                          <m:sSubPr>
                            <m:ctrlPr>
                              <a:rPr lang="de-DE" sz="1400" b="0" i="1">
                                <a:latin typeface="Cambria Math" panose="02040503050406030204" pitchFamily="18" charset="0"/>
                              </a:rPr>
                            </m:ctrlPr>
                          </m:sSubPr>
                          <m:e>
                            <m:r>
                              <a:rPr lang="de-DE" sz="1400" b="0" i="1">
                                <a:latin typeface="Cambria Math"/>
                              </a:rPr>
                              <m:t>𝑉</m:t>
                            </m:r>
                          </m:e>
                          <m:sub>
                            <m:r>
                              <a:rPr lang="de-DE" sz="1400" b="0" i="1">
                                <a:latin typeface="Cambria Math"/>
                              </a:rPr>
                              <m:t>𝐵𝐵</m:t>
                            </m:r>
                          </m:sub>
                        </m:sSub>
                        <m:r>
                          <a:rPr lang="de-DE" sz="1400" b="0" i="1">
                            <a:latin typeface="Cambria Math"/>
                          </a:rPr>
                          <m:t>∗ </m:t>
                        </m:r>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9" name="Textfeld 8"/>
            <xdr:cNvSpPr txBox="1"/>
          </xdr:nvSpPr>
          <xdr:spPr>
            <a:xfrm>
              <a:off x="3105150" y="9096375"/>
              <a:ext cx="2397708" cy="548483"/>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b="0" i="0">
                  <a:latin typeface="Cambria Math"/>
                </a:rPr>
                <a:t>𝐵_𝑇𝑆=  𝐵_(𝑑,𝐵𝑆𝐵)/𝑀_(𝑇𝑆,𝐵𝐵) =𝐵_(𝑑,𝐵𝑆𝐵)/(𝑉_𝐵𝐵∗ 〖𝑇𝑆〗_𝐵𝐵 )</a:t>
              </a:r>
              <a:endParaRPr lang="de-DE" sz="1400"/>
            </a:p>
          </xdr:txBody>
        </xdr:sp>
      </mc:Fallback>
    </mc:AlternateContent>
    <xdr:clientData/>
  </xdr:oneCellAnchor>
  <xdr:oneCellAnchor>
    <xdr:from>
      <xdr:col>2</xdr:col>
      <xdr:colOff>142875</xdr:colOff>
      <xdr:row>5</xdr:row>
      <xdr:rowOff>142875</xdr:rowOff>
    </xdr:from>
    <xdr:ext cx="2009776" cy="628651"/>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1500-00000A000000}"/>
                </a:ext>
              </a:extLst>
            </xdr:cNvPr>
            <xdr:cNvSpPr txBox="1"/>
          </xdr:nvSpPr>
          <xdr:spPr>
            <a:xfrm>
              <a:off x="3067050" y="4429125"/>
              <a:ext cx="2009776"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14:m>
                <m:oMathPara xmlns:m="http://schemas.openxmlformats.org/officeDocument/2006/math">
                  <m:oMathParaPr>
                    <m:jc m:val="centerGroup"/>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𝑉</m:t>
                        </m:r>
                      </m:e>
                      <m:sub>
                        <m:r>
                          <a:rPr lang="de-DE" sz="1400" b="0" i="1">
                            <a:latin typeface="Cambria Math"/>
                          </a:rPr>
                          <m:t>𝐵𝐵</m:t>
                        </m:r>
                      </m:sub>
                    </m:sSub>
                    <m:r>
                      <a:rPr lang="de-DE" sz="1400" b="0" i="1">
                        <a:latin typeface="Cambria Math"/>
                        <a:ea typeface="Cambria Math"/>
                      </a:rPr>
                      <m:t>≥</m:t>
                    </m:r>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Ü</m:t>
                            </m:r>
                            <m:r>
                              <a:rPr lang="de-DE" sz="1400" b="0" i="1">
                                <a:latin typeface="Cambria Math"/>
                              </a:rPr>
                              <m:t>𝑆</m:t>
                            </m:r>
                          </m:e>
                          <m:sub>
                            <m:r>
                              <a:rPr lang="de-DE" sz="1400" b="0" i="1">
                                <a:latin typeface="Cambria Math"/>
                              </a:rPr>
                              <m:t>𝑑</m:t>
                            </m:r>
                          </m:sub>
                        </m:sSub>
                        <m:r>
                          <a:rPr lang="de-DE" sz="1400" b="0" i="1">
                            <a:latin typeface="Cambria Math"/>
                          </a:rPr>
                          <m:t> ∗ </m:t>
                        </m:r>
                        <m:sSub>
                          <m:sSubPr>
                            <m:ctrlPr>
                              <a:rPr lang="de-DE" sz="1400" b="0" i="1">
                                <a:latin typeface="Cambria Math" panose="02040503050406030204" pitchFamily="18" charset="0"/>
                              </a:rPr>
                            </m:ctrlPr>
                          </m:sSubPr>
                          <m:e>
                            <m:r>
                              <a:rPr lang="de-DE" sz="1400" b="0" i="1">
                                <a:latin typeface="Cambria Math"/>
                              </a:rPr>
                              <m:t>𝑡</m:t>
                            </m:r>
                          </m:e>
                          <m:sub>
                            <m:r>
                              <a:rPr lang="de-DE" sz="1400" b="0" i="1">
                                <a:latin typeface="Cambria Math"/>
                              </a:rPr>
                              <m:t>𝑇𝑆</m:t>
                            </m:r>
                            <m:r>
                              <a:rPr lang="de-DE" sz="1400" b="0" i="1">
                                <a:latin typeface="Cambria Math" panose="02040503050406030204" pitchFamily="18" charset="0"/>
                              </a:rPr>
                              <m:t>,</m:t>
                            </m:r>
                            <m:r>
                              <a:rPr lang="de-DE" sz="1400" b="0" i="1">
                                <a:latin typeface="Cambria Math" panose="02040503050406030204" pitchFamily="18" charset="0"/>
                              </a:rPr>
                              <m:t>𝐵𝑒𝑚</m:t>
                            </m:r>
                          </m:sub>
                        </m:sSub>
                      </m:num>
                      <m:den>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10" name="Textfeld 9">
              <a:extLst>
                <a:ext uri="{FF2B5EF4-FFF2-40B4-BE49-F238E27FC236}">
                  <a16:creationId xmlns:a16="http://schemas.microsoft.com/office/drawing/2014/main" id="{00000000-0008-0000-1500-00000A000000}"/>
                </a:ext>
              </a:extLst>
            </xdr:cNvPr>
            <xdr:cNvSpPr txBox="1"/>
          </xdr:nvSpPr>
          <xdr:spPr>
            <a:xfrm>
              <a:off x="3067050" y="4429125"/>
              <a:ext cx="2009776"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r>
                <a:rPr lang="de-DE" sz="1400" b="0" i="0">
                  <a:latin typeface="Cambria Math"/>
                </a:rPr>
                <a:t>𝑉</a:t>
              </a:r>
              <a:r>
                <a:rPr lang="de-DE" sz="1400" b="0" i="0">
                  <a:latin typeface="Cambria Math" panose="02040503050406030204" pitchFamily="18" charset="0"/>
                </a:rPr>
                <a:t>_</a:t>
              </a:r>
              <a:r>
                <a:rPr lang="de-DE" sz="1400" b="0" i="0">
                  <a:latin typeface="Cambria Math"/>
                </a:rPr>
                <a:t>𝐵𝐵</a:t>
              </a:r>
              <a:r>
                <a:rPr lang="de-DE" sz="1400" b="0" i="0">
                  <a:latin typeface="Cambria Math"/>
                  <a:ea typeface="Cambria Math"/>
                </a:rPr>
                <a:t>≥</a:t>
              </a:r>
              <a:r>
                <a:rPr lang="de-DE" sz="1400" b="0" i="0">
                  <a:latin typeface="Cambria Math"/>
                </a:rPr>
                <a:t> </a:t>
              </a:r>
              <a:r>
                <a:rPr lang="de-DE" sz="1400" b="0" i="0">
                  <a:latin typeface="Cambria Math" panose="02040503050406030204" pitchFamily="18" charset="0"/>
                </a:rPr>
                <a:t> (〖</a:t>
              </a:r>
              <a:r>
                <a:rPr lang="de-DE" sz="1400" b="0" i="0">
                  <a:latin typeface="Cambria Math"/>
                </a:rPr>
                <a:t>Ü𝑆</a:t>
              </a:r>
              <a:r>
                <a:rPr lang="de-DE" sz="1400" b="0" i="0">
                  <a:latin typeface="Cambria Math" panose="02040503050406030204" pitchFamily="18" charset="0"/>
                </a:rPr>
                <a:t>〗_</a:t>
              </a:r>
              <a:r>
                <a:rPr lang="de-DE" sz="1400" b="0" i="0">
                  <a:latin typeface="Cambria Math"/>
                </a:rPr>
                <a:t>𝑑  ∗ 𝑡</a:t>
              </a:r>
              <a:r>
                <a:rPr lang="de-DE" sz="1400" b="0" i="0">
                  <a:latin typeface="Cambria Math" panose="02040503050406030204" pitchFamily="18" charset="0"/>
                </a:rPr>
                <a:t>_(</a:t>
              </a:r>
              <a:r>
                <a:rPr lang="de-DE" sz="1400" b="0" i="0">
                  <a:latin typeface="Cambria Math"/>
                </a:rPr>
                <a:t>𝑇𝑆</a:t>
              </a:r>
              <a:r>
                <a:rPr lang="de-DE" sz="1400" b="0" i="0">
                  <a:latin typeface="Cambria Math" panose="02040503050406030204" pitchFamily="18" charset="0"/>
                </a:rPr>
                <a:t>,𝐵𝑒𝑚))/〖</a:t>
              </a:r>
              <a:r>
                <a:rPr lang="de-DE" sz="1400" b="0" i="0">
                  <a:latin typeface="Cambria Math"/>
                </a:rPr>
                <a:t>𝑇𝑆</a:t>
              </a:r>
              <a:r>
                <a:rPr lang="de-DE" sz="1400" b="0" i="0">
                  <a:latin typeface="Cambria Math" panose="02040503050406030204" pitchFamily="18" charset="0"/>
                </a:rPr>
                <a:t>〗_</a:t>
              </a:r>
              <a:r>
                <a:rPr lang="de-DE" sz="1400" b="0" i="0">
                  <a:latin typeface="Cambria Math"/>
                </a:rPr>
                <a:t>𝐵𝐵</a:t>
              </a:r>
              <a:r>
                <a:rPr lang="de-DE" sz="1400" b="0" i="0">
                  <a:latin typeface="Cambria Math" panose="02040503050406030204" pitchFamily="18" charset="0"/>
                </a:rPr>
                <a:t> </a:t>
              </a:r>
              <a:endParaRPr lang="de-DE" sz="14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twoCellAnchor>
    <xdr:from>
      <xdr:col>2</xdr:col>
      <xdr:colOff>228600</xdr:colOff>
      <xdr:row>2</xdr:row>
      <xdr:rowOff>257175</xdr:rowOff>
    </xdr:from>
    <xdr:to>
      <xdr:col>2</xdr:col>
      <xdr:colOff>4676775</xdr:colOff>
      <xdr:row>2</xdr:row>
      <xdr:rowOff>2857500</xdr:rowOff>
    </xdr:to>
    <xdr:grpSp>
      <xdr:nvGrpSpPr>
        <xdr:cNvPr id="2" name="Gruppieren 1">
          <a:extLst>
            <a:ext uri="{FF2B5EF4-FFF2-40B4-BE49-F238E27FC236}">
              <a16:creationId xmlns:a16="http://schemas.microsoft.com/office/drawing/2014/main" id="{00000000-0008-0000-1600-000002000000}"/>
            </a:ext>
          </a:extLst>
        </xdr:cNvPr>
        <xdr:cNvGrpSpPr/>
      </xdr:nvGrpSpPr>
      <xdr:grpSpPr>
        <a:xfrm>
          <a:off x="3152775" y="1524000"/>
          <a:ext cx="4448175" cy="2600325"/>
          <a:chOff x="2924175" y="504825"/>
          <a:chExt cx="4448175" cy="2600325"/>
        </a:xfrm>
        <a:effectLst>
          <a:glow rad="139700">
            <a:schemeClr val="accent3">
              <a:satMod val="175000"/>
              <a:alpha val="40000"/>
            </a:schemeClr>
          </a:glow>
        </a:effectLst>
      </xdr:grpSpPr>
      <xdr:pic>
        <xdr:nvPicPr>
          <xdr:cNvPr id="3" name="Grafik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504825"/>
            <a:ext cx="4448175" cy="1304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Grafik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0" y="1819275"/>
            <a:ext cx="3190875" cy="1285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2</xdr:col>
      <xdr:colOff>323850</xdr:colOff>
      <xdr:row>3</xdr:row>
      <xdr:rowOff>104775</xdr:rowOff>
    </xdr:from>
    <xdr:ext cx="2066925" cy="596830"/>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1600-000005000000}"/>
                </a:ext>
              </a:extLst>
            </xdr:cNvPr>
            <xdr:cNvSpPr txBox="1"/>
          </xdr:nvSpPr>
          <xdr:spPr>
            <a:xfrm>
              <a:off x="3248025" y="4543425"/>
              <a:ext cx="2066925" cy="59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de-DE" sz="1600" b="0" i="1">
                        <a:latin typeface="Cambria Math"/>
                      </a:rPr>
                      <m:t>𝐼𝑆𝑉</m:t>
                    </m:r>
                    <m:r>
                      <a:rPr lang="de-DE" sz="1600" b="0" i="1">
                        <a:latin typeface="Cambria Math"/>
                      </a:rPr>
                      <m:t>= </m:t>
                    </m:r>
                    <m:f>
                      <m:fPr>
                        <m:ctrlPr>
                          <a:rPr lang="de-DE" sz="1600" b="0" i="1">
                            <a:latin typeface="Cambria Math" panose="02040503050406030204" pitchFamily="18" charset="0"/>
                          </a:rPr>
                        </m:ctrlPr>
                      </m:fPr>
                      <m:num>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𝑇𝑆</m:t>
                            </m:r>
                          </m:e>
                          <m:sub>
                            <m:r>
                              <a:rPr lang="de-DE" sz="1600" b="0" i="1">
                                <a:latin typeface="Cambria Math"/>
                              </a:rPr>
                              <m:t>𝐵𝑆</m:t>
                            </m:r>
                          </m:sub>
                        </m:sSub>
                      </m:den>
                    </m:f>
                    <m:r>
                      <a:rPr lang="de-DE" sz="1600" b="0" i="1">
                        <a:latin typeface="Cambria Math"/>
                      </a:rPr>
                      <m:t> ∗ </m:t>
                    </m:r>
                    <m:rad>
                      <m:radPr>
                        <m:ctrlPr>
                          <a:rPr lang="de-DE" sz="1600" b="0" i="1">
                            <a:latin typeface="Cambria Math" panose="02040503050406030204" pitchFamily="18" charset="0"/>
                          </a:rPr>
                        </m:ctrlPr>
                      </m:radPr>
                      <m:deg>
                        <m:r>
                          <a:rPr lang="de-DE" sz="1600" b="0" i="1">
                            <a:latin typeface="Cambria Math"/>
                          </a:rPr>
                          <m:t>3</m:t>
                        </m:r>
                      </m:deg>
                      <m:e>
                        <m:sSub>
                          <m:sSubPr>
                            <m:ctrlPr>
                              <a:rPr lang="de-DE" sz="1600" b="0" i="1">
                                <a:latin typeface="Cambria Math" panose="02040503050406030204" pitchFamily="18" charset="0"/>
                              </a:rPr>
                            </m:ctrlPr>
                          </m:sSubPr>
                          <m:e>
                            <m:r>
                              <a:rPr lang="de-DE" sz="1600" b="0" i="1">
                                <a:latin typeface="Cambria Math"/>
                              </a:rPr>
                              <m:t>𝑡</m:t>
                            </m:r>
                          </m:e>
                          <m:sub>
                            <m:r>
                              <a:rPr lang="de-DE" sz="1600" b="0" i="1">
                                <a:latin typeface="Cambria Math"/>
                              </a:rPr>
                              <m:t>𝐸</m:t>
                            </m:r>
                          </m:sub>
                        </m:sSub>
                      </m:e>
                    </m:rad>
                  </m:oMath>
                </m:oMathPara>
              </a14:m>
              <a:endParaRPr lang="de-DE" sz="1600" b="0"/>
            </a:p>
          </xdr:txBody>
        </xdr:sp>
      </mc:Choice>
      <mc:Fallback xmlns="">
        <xdr:sp macro="" textlink="">
          <xdr:nvSpPr>
            <xdr:cNvPr id="5" name="Textfeld 4"/>
            <xdr:cNvSpPr txBox="1"/>
          </xdr:nvSpPr>
          <xdr:spPr>
            <a:xfrm>
              <a:off x="3248025" y="4543425"/>
              <a:ext cx="2066925" cy="59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𝐼𝑆𝑉=  1000/〖𝑇𝑆〗_𝐵𝑆   ∗ ∛(𝑡_𝐸 )</a:t>
              </a:r>
              <a:endParaRPr lang="de-DE" sz="1600" b="0"/>
            </a:p>
          </xdr:txBody>
        </xdr:sp>
      </mc:Fallback>
    </mc:AlternateContent>
    <xdr:clientData/>
  </xdr:oneCellAnchor>
  <xdr:oneCellAnchor>
    <xdr:from>
      <xdr:col>2</xdr:col>
      <xdr:colOff>257175</xdr:colOff>
      <xdr:row>5</xdr:row>
      <xdr:rowOff>38100</xdr:rowOff>
    </xdr:from>
    <xdr:ext cx="2209800" cy="694164"/>
    <mc:AlternateContent xmlns:mc="http://schemas.openxmlformats.org/markup-compatibility/2006" xmlns:a14="http://schemas.microsoft.com/office/drawing/2010/main">
      <mc:Choice Requires="a14">
        <xdr:sp macro="" textlink="">
          <xdr:nvSpPr>
            <xdr:cNvPr id="6" name="Textfeld 5">
              <a:extLst>
                <a:ext uri="{FF2B5EF4-FFF2-40B4-BE49-F238E27FC236}">
                  <a16:creationId xmlns:a16="http://schemas.microsoft.com/office/drawing/2014/main" id="{00000000-0008-0000-1600-000006000000}"/>
                </a:ext>
              </a:extLst>
            </xdr:cNvPr>
            <xdr:cNvSpPr txBox="1"/>
          </xdr:nvSpPr>
          <xdr:spPr>
            <a:xfrm>
              <a:off x="3181350" y="7772400"/>
              <a:ext cx="2209800" cy="69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𝑡</m:t>
                        </m:r>
                      </m:e>
                      <m:sub>
                        <m:r>
                          <a:rPr lang="de-DE" sz="1600" b="0" i="1">
                            <a:latin typeface="Cambria Math"/>
                          </a:rPr>
                          <m:t>𝐸</m:t>
                        </m:r>
                      </m:sub>
                    </m:sSub>
                    <m:r>
                      <a:rPr lang="de-DE" sz="1600" b="0" i="1">
                        <a:latin typeface="Cambria Math"/>
                      </a:rPr>
                      <m:t>= </m:t>
                    </m:r>
                    <m:sSup>
                      <m:sSupPr>
                        <m:ctrlPr>
                          <a:rPr lang="de-DE" sz="1600" b="0" i="1">
                            <a:latin typeface="Cambria Math" panose="02040503050406030204" pitchFamily="18" charset="0"/>
                          </a:rPr>
                        </m:ctrlPr>
                      </m:sSupPr>
                      <m:e>
                        <m:d>
                          <m:dPr>
                            <m:ctrlPr>
                              <a:rPr lang="de-DE" sz="1600" b="0" i="1">
                                <a:solidFill>
                                  <a:schemeClr val="tx1"/>
                                </a:solidFill>
                                <a:effectLst/>
                                <a:latin typeface="Cambria Math" panose="02040503050406030204" pitchFamily="18" charset="0"/>
                                <a:ea typeface="+mn-ea"/>
                                <a:cs typeface="+mn-cs"/>
                              </a:rPr>
                            </m:ctrlPr>
                          </m:dPr>
                          <m:e>
                            <m:f>
                              <m:fPr>
                                <m:ctrlPr>
                                  <a:rPr lang="de-DE" sz="1600" b="0" i="1">
                                    <a:solidFill>
                                      <a:schemeClr val="tx1"/>
                                    </a:solidFill>
                                    <a:effectLst/>
                                    <a:latin typeface="Cambria Math" panose="02040503050406030204" pitchFamily="18" charset="0"/>
                                    <a:ea typeface="+mn-ea"/>
                                    <a:cs typeface="+mn-cs"/>
                                  </a:rPr>
                                </m:ctrlPr>
                              </m:fPr>
                              <m:num>
                                <m:sSub>
                                  <m:sSubPr>
                                    <m:ctrlPr>
                                      <a:rPr lang="de-DE" sz="1600" b="0" i="1">
                                        <a:solidFill>
                                          <a:schemeClr val="tx1"/>
                                        </a:solidFill>
                                        <a:effectLst/>
                                        <a:latin typeface="Cambria Math" panose="02040503050406030204" pitchFamily="18" charset="0"/>
                                        <a:ea typeface="+mn-ea"/>
                                        <a:cs typeface="+mn-cs"/>
                                      </a:rPr>
                                    </m:ctrlPr>
                                  </m:sSubPr>
                                  <m:e>
                                    <m:r>
                                      <a:rPr lang="de-DE" sz="1600" b="0" i="1">
                                        <a:solidFill>
                                          <a:schemeClr val="tx1"/>
                                        </a:solidFill>
                                        <a:effectLst/>
                                        <a:latin typeface="Cambria Math"/>
                                        <a:ea typeface="+mn-ea"/>
                                        <a:cs typeface="+mn-cs"/>
                                      </a:rPr>
                                      <m:t>𝑇𝑆</m:t>
                                    </m:r>
                                  </m:e>
                                  <m:sub>
                                    <m:r>
                                      <a:rPr lang="de-DE" sz="1600" b="0" i="1">
                                        <a:solidFill>
                                          <a:schemeClr val="tx1"/>
                                        </a:solidFill>
                                        <a:effectLst/>
                                        <a:latin typeface="Cambria Math"/>
                                        <a:ea typeface="+mn-ea"/>
                                        <a:cs typeface="+mn-cs"/>
                                      </a:rPr>
                                      <m:t>𝐵𝑆</m:t>
                                    </m:r>
                                  </m:sub>
                                </m:sSub>
                                <m:r>
                                  <a:rPr lang="de-DE" sz="1600" b="0" i="1">
                                    <a:solidFill>
                                      <a:schemeClr val="tx1"/>
                                    </a:solidFill>
                                    <a:effectLst/>
                                    <a:latin typeface="Cambria Math"/>
                                    <a:ea typeface="+mn-ea"/>
                                    <a:cs typeface="+mn-cs"/>
                                  </a:rPr>
                                  <m:t>∗</m:t>
                                </m:r>
                                <m:r>
                                  <a:rPr lang="de-DE" sz="1600" b="0" i="1">
                                    <a:solidFill>
                                      <a:schemeClr val="tx1"/>
                                    </a:solidFill>
                                    <a:effectLst/>
                                    <a:latin typeface="Cambria Math"/>
                                    <a:ea typeface="+mn-ea"/>
                                    <a:cs typeface="+mn-cs"/>
                                  </a:rPr>
                                  <m:t>𝐼𝑆𝑉</m:t>
                                </m:r>
                              </m:num>
                              <m:den>
                                <m:r>
                                  <a:rPr lang="de-DE" sz="1600" b="0" i="1">
                                    <a:solidFill>
                                      <a:schemeClr val="tx1"/>
                                    </a:solidFill>
                                    <a:effectLst/>
                                    <a:latin typeface="Cambria Math"/>
                                    <a:ea typeface="+mn-ea"/>
                                    <a:cs typeface="+mn-cs"/>
                                  </a:rPr>
                                  <m:t>1000</m:t>
                                </m:r>
                              </m:den>
                            </m:f>
                          </m:e>
                        </m:d>
                      </m:e>
                      <m:sup>
                        <m:r>
                          <a:rPr lang="de-DE" sz="1600" b="0" i="1">
                            <a:latin typeface="Cambria Math"/>
                          </a:rPr>
                          <m:t>3</m:t>
                        </m:r>
                      </m:sup>
                    </m:sSup>
                  </m:oMath>
                </m:oMathPara>
              </a14:m>
              <a:endParaRPr lang="de-DE" sz="1100"/>
            </a:p>
          </xdr:txBody>
        </xdr:sp>
      </mc:Choice>
      <mc:Fallback xmlns="">
        <xdr:sp macro="" textlink="">
          <xdr:nvSpPr>
            <xdr:cNvPr id="6" name="Textfeld 5"/>
            <xdr:cNvSpPr txBox="1"/>
          </xdr:nvSpPr>
          <xdr:spPr>
            <a:xfrm>
              <a:off x="3181350" y="7772400"/>
              <a:ext cx="2209800" cy="69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𝑡_𝐸= </a:t>
              </a:r>
              <a:r>
                <a:rPr lang="de-DE" sz="1600" b="0" i="0">
                  <a:solidFill>
                    <a:schemeClr val="tx1"/>
                  </a:solidFill>
                  <a:effectLst/>
                  <a:latin typeface="Cambria Math"/>
                  <a:ea typeface="+mn-ea"/>
                  <a:cs typeface="+mn-cs"/>
                </a:rPr>
                <a:t>((〖𝑇𝑆〗_𝐵𝑆∗𝐼𝑆𝑉)/1000)^</a:t>
              </a:r>
              <a:r>
                <a:rPr lang="de-DE" sz="1600" b="0" i="0">
                  <a:latin typeface="Cambria Math"/>
                </a:rPr>
                <a:t>3</a:t>
              </a:r>
              <a:endParaRPr lang="de-DE" sz="1100"/>
            </a:p>
          </xdr:txBody>
        </xdr:sp>
      </mc:Fallback>
    </mc:AlternateContent>
    <xdr:clientData/>
  </xdr:oneCellAnchor>
  <xdr:twoCellAnchor editAs="oneCell">
    <xdr:from>
      <xdr:col>2</xdr:col>
      <xdr:colOff>228600</xdr:colOff>
      <xdr:row>4</xdr:row>
      <xdr:rowOff>57150</xdr:rowOff>
    </xdr:from>
    <xdr:to>
      <xdr:col>2</xdr:col>
      <xdr:colOff>5019675</xdr:colOff>
      <xdr:row>4</xdr:row>
      <xdr:rowOff>1743075</xdr:rowOff>
    </xdr:to>
    <xdr:pic>
      <xdr:nvPicPr>
        <xdr:cNvPr id="7" name="Grafik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2775" y="5257800"/>
          <a:ext cx="4791075" cy="16859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228600</xdr:colOff>
      <xdr:row>7</xdr:row>
      <xdr:rowOff>66675</xdr:rowOff>
    </xdr:from>
    <xdr:to>
      <xdr:col>2</xdr:col>
      <xdr:colOff>3533775</xdr:colOff>
      <xdr:row>7</xdr:row>
      <xdr:rowOff>962025</xdr:rowOff>
    </xdr:to>
    <xdr:pic>
      <xdr:nvPicPr>
        <xdr:cNvPr id="8" name="Picture 1">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52775" y="13001625"/>
          <a:ext cx="3305175" cy="8953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6</xdr:row>
      <xdr:rowOff>133350</xdr:rowOff>
    </xdr:from>
    <xdr:to>
      <xdr:col>2</xdr:col>
      <xdr:colOff>4981575</xdr:colOff>
      <xdr:row>6</xdr:row>
      <xdr:rowOff>4310773</xdr:rowOff>
    </xdr:to>
    <xdr:grpSp>
      <xdr:nvGrpSpPr>
        <xdr:cNvPr id="9" name="Gruppieren 8">
          <a:extLst>
            <a:ext uri="{FF2B5EF4-FFF2-40B4-BE49-F238E27FC236}">
              <a16:creationId xmlns:a16="http://schemas.microsoft.com/office/drawing/2014/main" id="{00000000-0008-0000-1600-000009000000}"/>
            </a:ext>
          </a:extLst>
        </xdr:cNvPr>
        <xdr:cNvGrpSpPr/>
      </xdr:nvGrpSpPr>
      <xdr:grpSpPr>
        <a:xfrm>
          <a:off x="3152775" y="8629650"/>
          <a:ext cx="4752975" cy="4177423"/>
          <a:chOff x="3009900" y="609600"/>
          <a:chExt cx="4752975" cy="4177423"/>
        </a:xfrm>
        <a:effectLst>
          <a:glow rad="139700">
            <a:schemeClr val="accent3">
              <a:satMod val="175000"/>
              <a:alpha val="40000"/>
            </a:schemeClr>
          </a:glow>
        </a:effectLst>
      </xdr:grpSpPr>
      <xdr:pic>
        <xdr:nvPicPr>
          <xdr:cNvPr id="10" name="Grafik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09900" y="609600"/>
            <a:ext cx="4752975" cy="4191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6"/>
          <a:stretch>
            <a:fillRect/>
          </a:stretch>
        </xdr:blipFill>
        <xdr:spPr>
          <a:xfrm>
            <a:off x="3009900" y="1009651"/>
            <a:ext cx="3257550" cy="3777372"/>
          </a:xfrm>
          <a:prstGeom prst="rect">
            <a:avLst/>
          </a:prstGeom>
        </xdr:spPr>
      </xdr:pic>
    </xdr:grpSp>
    <xdr:clientData/>
  </xdr:twoCellAnchor>
  <xdr:twoCellAnchor editAs="oneCell">
    <xdr:from>
      <xdr:col>2</xdr:col>
      <xdr:colOff>228600</xdr:colOff>
      <xdr:row>11</xdr:row>
      <xdr:rowOff>85725</xdr:rowOff>
    </xdr:from>
    <xdr:to>
      <xdr:col>2</xdr:col>
      <xdr:colOff>3543300</xdr:colOff>
      <xdr:row>11</xdr:row>
      <xdr:rowOff>981075</xdr:rowOff>
    </xdr:to>
    <xdr:pic>
      <xdr:nvPicPr>
        <xdr:cNvPr id="12" name="Picture 2">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2775" y="21012150"/>
          <a:ext cx="3314700" cy="8953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10</xdr:row>
      <xdr:rowOff>114300</xdr:rowOff>
    </xdr:from>
    <xdr:to>
      <xdr:col>2</xdr:col>
      <xdr:colOff>4371975</xdr:colOff>
      <xdr:row>10</xdr:row>
      <xdr:rowOff>4352925</xdr:rowOff>
    </xdr:to>
    <xdr:pic>
      <xdr:nvPicPr>
        <xdr:cNvPr id="13" name="Grafik 12">
          <a:extLst>
            <a:ext uri="{FF2B5EF4-FFF2-40B4-BE49-F238E27FC236}">
              <a16:creationId xmlns:a16="http://schemas.microsoft.com/office/drawing/2014/main" id="{00000000-0008-0000-16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52775" y="16602075"/>
          <a:ext cx="4143375" cy="42386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228600</xdr:colOff>
      <xdr:row>12</xdr:row>
      <xdr:rowOff>76200</xdr:rowOff>
    </xdr:from>
    <xdr:ext cx="1676400" cy="628651"/>
    <mc:AlternateContent xmlns:mc="http://schemas.openxmlformats.org/markup-compatibility/2006" xmlns:a14="http://schemas.microsoft.com/office/drawing/2010/main">
      <mc:Choice Requires="a14">
        <xdr:sp macro="" textlink="">
          <xdr:nvSpPr>
            <xdr:cNvPr id="14" name="Textfeld 13">
              <a:extLst>
                <a:ext uri="{FF2B5EF4-FFF2-40B4-BE49-F238E27FC236}">
                  <a16:creationId xmlns:a16="http://schemas.microsoft.com/office/drawing/2014/main" id="{00000000-0008-0000-1600-00000E000000}"/>
                </a:ext>
              </a:extLst>
            </xdr:cNvPr>
            <xdr:cNvSpPr txBox="1"/>
          </xdr:nvSpPr>
          <xdr:spPr>
            <a:xfrm>
              <a:off x="3152775" y="22040850"/>
              <a:ext cx="1676400"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14:m>
                <m:oMathPara xmlns:m="http://schemas.openxmlformats.org/officeDocument/2006/math">
                  <m:oMathParaPr>
                    <m:jc m:val="centerGroup"/>
                  </m:oMathParaPr>
                  <m:oMath xmlns:m="http://schemas.openxmlformats.org/officeDocument/2006/math">
                    <m:r>
                      <a:rPr lang="de-DE" sz="1400" i="1">
                        <a:latin typeface="Cambria Math"/>
                      </a:rPr>
                      <m:t>𝑅</m:t>
                    </m:r>
                    <m:r>
                      <a:rPr lang="de-DE" sz="1400" b="0" i="1">
                        <a:latin typeface="Cambria Math"/>
                      </a:rPr>
                      <m:t>𝑉</m:t>
                    </m:r>
                    <m:r>
                      <a:rPr lang="de-DE" sz="1400" b="0" i="1">
                        <a:latin typeface="Cambria Math"/>
                        <a:ea typeface="Cambria Math"/>
                      </a:rPr>
                      <m:t>=</m:t>
                    </m:r>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num>
                      <m:den>
                        <m:sSub>
                          <m:sSubPr>
                            <m:ctrlPr>
                              <a:rPr lang="de-DE" sz="1400" b="0" i="1">
                                <a:latin typeface="Cambria Math" panose="02040503050406030204" pitchFamily="18" charset="0"/>
                              </a:rPr>
                            </m:ctrlPr>
                          </m:sSubPr>
                          <m:e>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𝑅𝑆</m:t>
                                </m:r>
                              </m:sub>
                            </m:sSub>
                            <m:r>
                              <a:rPr lang="de-DE" sz="1400" b="0" i="1">
                                <a:latin typeface="Cambria Math"/>
                              </a:rPr>
                              <m:t> − </m:t>
                            </m:r>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14" name="Textfeld 13"/>
            <xdr:cNvSpPr txBox="1"/>
          </xdr:nvSpPr>
          <xdr:spPr>
            <a:xfrm>
              <a:off x="3152775" y="22040850"/>
              <a:ext cx="1676400" cy="628651"/>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r>
                <a:rPr lang="de-DE" sz="1400" i="0">
                  <a:latin typeface="Cambria Math"/>
                </a:rPr>
                <a:t>𝑅</a:t>
              </a:r>
              <a:r>
                <a:rPr lang="de-DE" sz="1400" b="0" i="0">
                  <a:latin typeface="Cambria Math"/>
                </a:rPr>
                <a:t>𝑉</a:t>
              </a:r>
              <a:r>
                <a:rPr lang="de-DE" sz="1400" b="0" i="0">
                  <a:latin typeface="Cambria Math"/>
                  <a:ea typeface="Cambria Math"/>
                </a:rPr>
                <a:t>=</a:t>
              </a:r>
              <a:r>
                <a:rPr lang="de-DE" sz="1400" b="0" i="0">
                  <a:latin typeface="Cambria Math"/>
                </a:rPr>
                <a:t>  〖𝑇𝑆〗_𝐵𝐵/〖〖𝑇𝑆〗_𝑅𝑆  − 𝑇𝑆〗_𝐵𝐵 </a:t>
              </a:r>
              <a:endParaRPr lang="de-DE" sz="14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twoCellAnchor>
    <xdr:from>
      <xdr:col>2</xdr:col>
      <xdr:colOff>228600</xdr:colOff>
      <xdr:row>2</xdr:row>
      <xdr:rowOff>257175</xdr:rowOff>
    </xdr:from>
    <xdr:to>
      <xdr:col>2</xdr:col>
      <xdr:colOff>4676775</xdr:colOff>
      <xdr:row>2</xdr:row>
      <xdr:rowOff>2857500</xdr:rowOff>
    </xdr:to>
    <xdr:grpSp>
      <xdr:nvGrpSpPr>
        <xdr:cNvPr id="4" name="Gruppieren 3">
          <a:extLst>
            <a:ext uri="{FF2B5EF4-FFF2-40B4-BE49-F238E27FC236}">
              <a16:creationId xmlns:a16="http://schemas.microsoft.com/office/drawing/2014/main" id="{00000000-0008-0000-1700-000004000000}"/>
            </a:ext>
          </a:extLst>
        </xdr:cNvPr>
        <xdr:cNvGrpSpPr/>
      </xdr:nvGrpSpPr>
      <xdr:grpSpPr>
        <a:xfrm>
          <a:off x="3152775" y="1524000"/>
          <a:ext cx="4448175" cy="2600325"/>
          <a:chOff x="2924175" y="504825"/>
          <a:chExt cx="4448175" cy="2600325"/>
        </a:xfrm>
        <a:effectLst>
          <a:glow rad="139700">
            <a:schemeClr val="accent3">
              <a:satMod val="175000"/>
              <a:alpha val="40000"/>
            </a:schemeClr>
          </a:glow>
        </a:effectLst>
      </xdr:grpSpPr>
      <xdr:pic>
        <xdr:nvPicPr>
          <xdr:cNvPr id="2" name="Grafik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504825"/>
            <a:ext cx="4448175" cy="1304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Grafik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0" y="1819275"/>
            <a:ext cx="3190875" cy="12858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2</xdr:col>
      <xdr:colOff>323850</xdr:colOff>
      <xdr:row>3</xdr:row>
      <xdr:rowOff>104775</xdr:rowOff>
    </xdr:from>
    <xdr:ext cx="2066925" cy="596830"/>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1700-000005000000}"/>
                </a:ext>
              </a:extLst>
            </xdr:cNvPr>
            <xdr:cNvSpPr txBox="1"/>
          </xdr:nvSpPr>
          <xdr:spPr>
            <a:xfrm>
              <a:off x="3248025" y="3781425"/>
              <a:ext cx="2066925" cy="59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de-DE" sz="1600" b="0" i="1">
                        <a:latin typeface="Cambria Math"/>
                      </a:rPr>
                      <m:t>𝐼𝑆𝑉</m:t>
                    </m:r>
                    <m:r>
                      <a:rPr lang="de-DE" sz="1600" b="0" i="1">
                        <a:latin typeface="Cambria Math"/>
                      </a:rPr>
                      <m:t>= </m:t>
                    </m:r>
                    <m:f>
                      <m:fPr>
                        <m:ctrlPr>
                          <a:rPr lang="de-DE" sz="1600" b="0" i="1">
                            <a:latin typeface="Cambria Math" panose="02040503050406030204" pitchFamily="18" charset="0"/>
                          </a:rPr>
                        </m:ctrlPr>
                      </m:fPr>
                      <m:num>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𝑇𝑆</m:t>
                            </m:r>
                          </m:e>
                          <m:sub>
                            <m:r>
                              <a:rPr lang="de-DE" sz="1600" b="0" i="1">
                                <a:latin typeface="Cambria Math"/>
                              </a:rPr>
                              <m:t>𝐵𝑆</m:t>
                            </m:r>
                          </m:sub>
                        </m:sSub>
                      </m:den>
                    </m:f>
                    <m:r>
                      <a:rPr lang="de-DE" sz="1600" b="0" i="1">
                        <a:latin typeface="Cambria Math"/>
                      </a:rPr>
                      <m:t> ∗ </m:t>
                    </m:r>
                    <m:rad>
                      <m:radPr>
                        <m:ctrlPr>
                          <a:rPr lang="de-DE" sz="1600" b="0" i="1">
                            <a:latin typeface="Cambria Math" panose="02040503050406030204" pitchFamily="18" charset="0"/>
                          </a:rPr>
                        </m:ctrlPr>
                      </m:radPr>
                      <m:deg>
                        <m:r>
                          <a:rPr lang="de-DE" sz="1600" b="0" i="1">
                            <a:latin typeface="Cambria Math"/>
                          </a:rPr>
                          <m:t>3</m:t>
                        </m:r>
                      </m:deg>
                      <m:e>
                        <m:sSub>
                          <m:sSubPr>
                            <m:ctrlPr>
                              <a:rPr lang="de-DE" sz="1600" b="0" i="1">
                                <a:latin typeface="Cambria Math" panose="02040503050406030204" pitchFamily="18" charset="0"/>
                              </a:rPr>
                            </m:ctrlPr>
                          </m:sSubPr>
                          <m:e>
                            <m:r>
                              <a:rPr lang="de-DE" sz="1600" b="0" i="1">
                                <a:latin typeface="Cambria Math"/>
                              </a:rPr>
                              <m:t>𝑡</m:t>
                            </m:r>
                          </m:e>
                          <m:sub>
                            <m:r>
                              <a:rPr lang="de-DE" sz="1600" b="0" i="1">
                                <a:latin typeface="Cambria Math"/>
                              </a:rPr>
                              <m:t>𝐸</m:t>
                            </m:r>
                          </m:sub>
                        </m:sSub>
                      </m:e>
                    </m:rad>
                  </m:oMath>
                </m:oMathPara>
              </a14:m>
              <a:endParaRPr lang="de-DE" sz="1600" b="0"/>
            </a:p>
          </xdr:txBody>
        </xdr:sp>
      </mc:Choice>
      <mc:Fallback xmlns="">
        <xdr:sp macro="" textlink="">
          <xdr:nvSpPr>
            <xdr:cNvPr id="5" name="Textfeld 4"/>
            <xdr:cNvSpPr txBox="1"/>
          </xdr:nvSpPr>
          <xdr:spPr>
            <a:xfrm>
              <a:off x="3248025" y="3781425"/>
              <a:ext cx="2066925" cy="59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𝐼𝑆𝑉=  1000/〖𝑇𝑆〗_𝐵𝑆   ∗ √(3&amp;𝑡_𝐸 )</a:t>
              </a:r>
              <a:endParaRPr lang="de-DE" sz="1600" b="0"/>
            </a:p>
          </xdr:txBody>
        </xdr:sp>
      </mc:Fallback>
    </mc:AlternateContent>
    <xdr:clientData/>
  </xdr:oneCellAnchor>
  <xdr:oneCellAnchor>
    <xdr:from>
      <xdr:col>2</xdr:col>
      <xdr:colOff>257175</xdr:colOff>
      <xdr:row>5</xdr:row>
      <xdr:rowOff>38100</xdr:rowOff>
    </xdr:from>
    <xdr:ext cx="2209800" cy="694164"/>
    <mc:AlternateContent xmlns:mc="http://schemas.openxmlformats.org/markup-compatibility/2006" xmlns:a14="http://schemas.microsoft.com/office/drawing/2010/main">
      <mc:Choice Requires="a14">
        <xdr:sp macro="" textlink="">
          <xdr:nvSpPr>
            <xdr:cNvPr id="7" name="Textfeld 6">
              <a:extLst>
                <a:ext uri="{FF2B5EF4-FFF2-40B4-BE49-F238E27FC236}">
                  <a16:creationId xmlns:a16="http://schemas.microsoft.com/office/drawing/2014/main" id="{00000000-0008-0000-1700-000007000000}"/>
                </a:ext>
              </a:extLst>
            </xdr:cNvPr>
            <xdr:cNvSpPr txBox="1"/>
          </xdr:nvSpPr>
          <xdr:spPr>
            <a:xfrm>
              <a:off x="3181350" y="3076575"/>
              <a:ext cx="2209800" cy="69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𝑡</m:t>
                        </m:r>
                      </m:e>
                      <m:sub>
                        <m:r>
                          <a:rPr lang="de-DE" sz="1600" b="0" i="1">
                            <a:latin typeface="Cambria Math"/>
                          </a:rPr>
                          <m:t>𝐸</m:t>
                        </m:r>
                      </m:sub>
                    </m:sSub>
                    <m:r>
                      <a:rPr lang="de-DE" sz="1600" b="0" i="1">
                        <a:latin typeface="Cambria Math"/>
                      </a:rPr>
                      <m:t>= </m:t>
                    </m:r>
                    <m:sSup>
                      <m:sSupPr>
                        <m:ctrlPr>
                          <a:rPr lang="de-DE" sz="1600" b="0" i="1">
                            <a:latin typeface="Cambria Math" panose="02040503050406030204" pitchFamily="18" charset="0"/>
                          </a:rPr>
                        </m:ctrlPr>
                      </m:sSupPr>
                      <m:e>
                        <m:d>
                          <m:dPr>
                            <m:ctrlPr>
                              <a:rPr lang="de-DE" sz="1600" b="0" i="1">
                                <a:solidFill>
                                  <a:schemeClr val="tx1"/>
                                </a:solidFill>
                                <a:effectLst/>
                                <a:latin typeface="Cambria Math" panose="02040503050406030204" pitchFamily="18" charset="0"/>
                                <a:ea typeface="+mn-ea"/>
                                <a:cs typeface="+mn-cs"/>
                              </a:rPr>
                            </m:ctrlPr>
                          </m:dPr>
                          <m:e>
                            <m:f>
                              <m:fPr>
                                <m:ctrlPr>
                                  <a:rPr lang="de-DE" sz="1600" b="0" i="1">
                                    <a:solidFill>
                                      <a:schemeClr val="tx1"/>
                                    </a:solidFill>
                                    <a:effectLst/>
                                    <a:latin typeface="Cambria Math" panose="02040503050406030204" pitchFamily="18" charset="0"/>
                                    <a:ea typeface="+mn-ea"/>
                                    <a:cs typeface="+mn-cs"/>
                                  </a:rPr>
                                </m:ctrlPr>
                              </m:fPr>
                              <m:num>
                                <m:sSub>
                                  <m:sSubPr>
                                    <m:ctrlPr>
                                      <a:rPr lang="de-DE" sz="1600" b="0" i="1">
                                        <a:solidFill>
                                          <a:schemeClr val="tx1"/>
                                        </a:solidFill>
                                        <a:effectLst/>
                                        <a:latin typeface="Cambria Math" panose="02040503050406030204" pitchFamily="18" charset="0"/>
                                        <a:ea typeface="+mn-ea"/>
                                        <a:cs typeface="+mn-cs"/>
                                      </a:rPr>
                                    </m:ctrlPr>
                                  </m:sSubPr>
                                  <m:e>
                                    <m:r>
                                      <a:rPr lang="de-DE" sz="1600" b="0" i="1">
                                        <a:solidFill>
                                          <a:schemeClr val="tx1"/>
                                        </a:solidFill>
                                        <a:effectLst/>
                                        <a:latin typeface="Cambria Math"/>
                                        <a:ea typeface="+mn-ea"/>
                                        <a:cs typeface="+mn-cs"/>
                                      </a:rPr>
                                      <m:t>𝑇𝑆</m:t>
                                    </m:r>
                                  </m:e>
                                  <m:sub>
                                    <m:r>
                                      <a:rPr lang="de-DE" sz="1600" b="0" i="1">
                                        <a:solidFill>
                                          <a:schemeClr val="tx1"/>
                                        </a:solidFill>
                                        <a:effectLst/>
                                        <a:latin typeface="Cambria Math"/>
                                        <a:ea typeface="+mn-ea"/>
                                        <a:cs typeface="+mn-cs"/>
                                      </a:rPr>
                                      <m:t>𝐵𝑆</m:t>
                                    </m:r>
                                  </m:sub>
                                </m:sSub>
                                <m:r>
                                  <a:rPr lang="de-DE" sz="1600" b="0" i="1">
                                    <a:solidFill>
                                      <a:schemeClr val="tx1"/>
                                    </a:solidFill>
                                    <a:effectLst/>
                                    <a:latin typeface="Cambria Math"/>
                                    <a:ea typeface="+mn-ea"/>
                                    <a:cs typeface="+mn-cs"/>
                                  </a:rPr>
                                  <m:t>∗</m:t>
                                </m:r>
                                <m:r>
                                  <a:rPr lang="de-DE" sz="1600" b="0" i="1">
                                    <a:solidFill>
                                      <a:schemeClr val="tx1"/>
                                    </a:solidFill>
                                    <a:effectLst/>
                                    <a:latin typeface="Cambria Math"/>
                                    <a:ea typeface="+mn-ea"/>
                                    <a:cs typeface="+mn-cs"/>
                                  </a:rPr>
                                  <m:t>𝐼𝑆𝑉</m:t>
                                </m:r>
                              </m:num>
                              <m:den>
                                <m:r>
                                  <a:rPr lang="de-DE" sz="1600" b="0" i="1">
                                    <a:solidFill>
                                      <a:schemeClr val="tx1"/>
                                    </a:solidFill>
                                    <a:effectLst/>
                                    <a:latin typeface="Cambria Math"/>
                                    <a:ea typeface="+mn-ea"/>
                                    <a:cs typeface="+mn-cs"/>
                                  </a:rPr>
                                  <m:t>1000</m:t>
                                </m:r>
                              </m:den>
                            </m:f>
                          </m:e>
                        </m:d>
                      </m:e>
                      <m:sup>
                        <m:r>
                          <a:rPr lang="de-DE" sz="1600" b="0" i="1">
                            <a:latin typeface="Cambria Math"/>
                          </a:rPr>
                          <m:t>3</m:t>
                        </m:r>
                      </m:sup>
                    </m:sSup>
                  </m:oMath>
                </m:oMathPara>
              </a14:m>
              <a:endParaRPr lang="de-DE" sz="1100"/>
            </a:p>
          </xdr:txBody>
        </xdr:sp>
      </mc:Choice>
      <mc:Fallback xmlns="">
        <xdr:sp macro="" textlink="">
          <xdr:nvSpPr>
            <xdr:cNvPr id="7" name="Textfeld 6"/>
            <xdr:cNvSpPr txBox="1"/>
          </xdr:nvSpPr>
          <xdr:spPr>
            <a:xfrm>
              <a:off x="3181350" y="3076575"/>
              <a:ext cx="2209800" cy="694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𝑡_𝐸= </a:t>
              </a:r>
              <a:r>
                <a:rPr lang="de-DE" sz="1600" b="0" i="0">
                  <a:solidFill>
                    <a:schemeClr val="tx1"/>
                  </a:solidFill>
                  <a:effectLst/>
                  <a:latin typeface="Cambria Math"/>
                  <a:ea typeface="+mn-ea"/>
                  <a:cs typeface="+mn-cs"/>
                </a:rPr>
                <a:t>((〖𝑇𝑆〗_𝐵𝑆∗𝐼𝑆𝑉)/1000)^</a:t>
              </a:r>
              <a:r>
                <a:rPr lang="de-DE" sz="1600" b="0" i="0">
                  <a:latin typeface="Cambria Math"/>
                </a:rPr>
                <a:t>3</a:t>
              </a:r>
              <a:endParaRPr lang="de-DE" sz="1100"/>
            </a:p>
          </xdr:txBody>
        </xdr:sp>
      </mc:Fallback>
    </mc:AlternateContent>
    <xdr:clientData/>
  </xdr:oneCellAnchor>
  <xdr:twoCellAnchor editAs="oneCell">
    <xdr:from>
      <xdr:col>2</xdr:col>
      <xdr:colOff>228600</xdr:colOff>
      <xdr:row>4</xdr:row>
      <xdr:rowOff>57150</xdr:rowOff>
    </xdr:from>
    <xdr:to>
      <xdr:col>2</xdr:col>
      <xdr:colOff>5019675</xdr:colOff>
      <xdr:row>4</xdr:row>
      <xdr:rowOff>1743075</xdr:rowOff>
    </xdr:to>
    <xdr:pic>
      <xdr:nvPicPr>
        <xdr:cNvPr id="8" name="Grafik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62300" y="4514850"/>
          <a:ext cx="4791075" cy="16859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228600</xdr:colOff>
      <xdr:row>7</xdr:row>
      <xdr:rowOff>66675</xdr:rowOff>
    </xdr:from>
    <xdr:to>
      <xdr:col>2</xdr:col>
      <xdr:colOff>3533775</xdr:colOff>
      <xdr:row>7</xdr:row>
      <xdr:rowOff>962025</xdr:rowOff>
    </xdr:to>
    <xdr:pic>
      <xdr:nvPicPr>
        <xdr:cNvPr id="13" name="Picture 1">
          <a:extLst>
            <a:ext uri="{FF2B5EF4-FFF2-40B4-BE49-F238E27FC236}">
              <a16:creationId xmlns:a16="http://schemas.microsoft.com/office/drawing/2014/main" id="{00000000-0008-0000-17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62300" y="12258675"/>
          <a:ext cx="3305175" cy="8953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6</xdr:row>
      <xdr:rowOff>133350</xdr:rowOff>
    </xdr:from>
    <xdr:to>
      <xdr:col>2</xdr:col>
      <xdr:colOff>4981575</xdr:colOff>
      <xdr:row>6</xdr:row>
      <xdr:rowOff>4310773</xdr:rowOff>
    </xdr:to>
    <xdr:grpSp>
      <xdr:nvGrpSpPr>
        <xdr:cNvPr id="14" name="Gruppieren 13">
          <a:extLst>
            <a:ext uri="{FF2B5EF4-FFF2-40B4-BE49-F238E27FC236}">
              <a16:creationId xmlns:a16="http://schemas.microsoft.com/office/drawing/2014/main" id="{00000000-0008-0000-1700-00000E000000}"/>
            </a:ext>
          </a:extLst>
        </xdr:cNvPr>
        <xdr:cNvGrpSpPr/>
      </xdr:nvGrpSpPr>
      <xdr:grpSpPr>
        <a:xfrm>
          <a:off x="3152775" y="8629650"/>
          <a:ext cx="4752975" cy="4177423"/>
          <a:chOff x="3009900" y="609600"/>
          <a:chExt cx="4752975" cy="4177423"/>
        </a:xfrm>
        <a:effectLst>
          <a:glow rad="139700">
            <a:schemeClr val="accent3">
              <a:satMod val="175000"/>
              <a:alpha val="40000"/>
            </a:schemeClr>
          </a:glow>
        </a:effectLst>
      </xdr:grpSpPr>
      <xdr:pic>
        <xdr:nvPicPr>
          <xdr:cNvPr id="15" name="Grafik 14">
            <a:extLst>
              <a:ext uri="{FF2B5EF4-FFF2-40B4-BE49-F238E27FC236}">
                <a16:creationId xmlns:a16="http://schemas.microsoft.com/office/drawing/2014/main" id="{00000000-0008-0000-17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09900" y="609600"/>
            <a:ext cx="4752975" cy="4191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6"/>
          <a:stretch>
            <a:fillRect/>
          </a:stretch>
        </xdr:blipFill>
        <xdr:spPr>
          <a:xfrm>
            <a:off x="3009900" y="1009651"/>
            <a:ext cx="3257550" cy="3777372"/>
          </a:xfrm>
          <a:prstGeom prst="rect">
            <a:avLst/>
          </a:prstGeom>
        </xdr:spPr>
      </xdr:pic>
    </xdr:grpSp>
    <xdr:clientData/>
  </xdr:twoCellAnchor>
  <xdr:twoCellAnchor editAs="oneCell">
    <xdr:from>
      <xdr:col>2</xdr:col>
      <xdr:colOff>228600</xdr:colOff>
      <xdr:row>11</xdr:row>
      <xdr:rowOff>85725</xdr:rowOff>
    </xdr:from>
    <xdr:to>
      <xdr:col>2</xdr:col>
      <xdr:colOff>3543300</xdr:colOff>
      <xdr:row>11</xdr:row>
      <xdr:rowOff>981075</xdr:rowOff>
    </xdr:to>
    <xdr:pic>
      <xdr:nvPicPr>
        <xdr:cNvPr id="19" name="Picture 2">
          <a:extLst>
            <a:ext uri="{FF2B5EF4-FFF2-40B4-BE49-F238E27FC236}">
              <a16:creationId xmlns:a16="http://schemas.microsoft.com/office/drawing/2014/main" id="{00000000-0008-0000-17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2775" y="21012150"/>
          <a:ext cx="3314700" cy="8953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10</xdr:row>
      <xdr:rowOff>114300</xdr:rowOff>
    </xdr:from>
    <xdr:to>
      <xdr:col>2</xdr:col>
      <xdr:colOff>4371975</xdr:colOff>
      <xdr:row>10</xdr:row>
      <xdr:rowOff>4352925</xdr:rowOff>
    </xdr:to>
    <xdr:pic>
      <xdr:nvPicPr>
        <xdr:cNvPr id="20" name="Grafik 19">
          <a:extLst>
            <a:ext uri="{FF2B5EF4-FFF2-40B4-BE49-F238E27FC236}">
              <a16:creationId xmlns:a16="http://schemas.microsoft.com/office/drawing/2014/main" id="{00000000-0008-0000-17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62300" y="15868650"/>
          <a:ext cx="4143375" cy="42386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228600</xdr:colOff>
      <xdr:row>12</xdr:row>
      <xdr:rowOff>104775</xdr:rowOff>
    </xdr:from>
    <xdr:ext cx="1769459" cy="533672"/>
    <mc:AlternateContent xmlns:mc="http://schemas.openxmlformats.org/markup-compatibility/2006" xmlns:a14="http://schemas.microsoft.com/office/drawing/2010/main">
      <mc:Choice Requires="a14">
        <xdr:sp macro="" textlink="">
          <xdr:nvSpPr>
            <xdr:cNvPr id="17" name="Textfeld 16">
              <a:extLst>
                <a:ext uri="{FF2B5EF4-FFF2-40B4-BE49-F238E27FC236}">
                  <a16:creationId xmlns:a16="http://schemas.microsoft.com/office/drawing/2014/main" id="{00000000-0008-0000-1700-000011000000}"/>
                </a:ext>
              </a:extLst>
            </xdr:cNvPr>
            <xdr:cNvSpPr txBox="1"/>
          </xdr:nvSpPr>
          <xdr:spPr>
            <a:xfrm>
              <a:off x="3152775" y="22069425"/>
              <a:ext cx="1769459" cy="53367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r>
                      <a:rPr lang="de-DE" sz="1400" i="1">
                        <a:latin typeface="Cambria Math"/>
                      </a:rPr>
                      <m:t>𝑅</m:t>
                    </m:r>
                    <m:r>
                      <a:rPr lang="de-DE" sz="1400" b="0" i="1">
                        <a:latin typeface="Cambria Math"/>
                      </a:rPr>
                      <m:t>𝑉</m:t>
                    </m:r>
                    <m:r>
                      <a:rPr lang="de-DE" sz="1400" b="0" i="1">
                        <a:latin typeface="Cambria Math"/>
                        <a:ea typeface="Cambria Math"/>
                      </a:rPr>
                      <m:t>=</m:t>
                    </m:r>
                    <m:r>
                      <a:rPr lang="de-DE" sz="1400" b="0" i="1">
                        <a:latin typeface="Cambria Math"/>
                      </a:rPr>
                      <m:t> </m:t>
                    </m:r>
                    <m:f>
                      <m:fPr>
                        <m:ctrlPr>
                          <a:rPr lang="de-DE" sz="1400" b="0" i="1">
                            <a:latin typeface="Cambria Math" panose="02040503050406030204" pitchFamily="18" charset="0"/>
                          </a:rPr>
                        </m:ctrlPr>
                      </m:fPr>
                      <m:num>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num>
                      <m:den>
                        <m:sSub>
                          <m:sSubPr>
                            <m:ctrlPr>
                              <a:rPr lang="de-DE" sz="1400" b="0" i="1">
                                <a:latin typeface="Cambria Math" panose="02040503050406030204" pitchFamily="18" charset="0"/>
                              </a:rPr>
                            </m:ctrlPr>
                          </m:sSubPr>
                          <m:e>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𝑅𝑆</m:t>
                                </m:r>
                              </m:sub>
                            </m:sSub>
                            <m:r>
                              <a:rPr lang="de-DE" sz="1400" b="0" i="1">
                                <a:latin typeface="Cambria Math"/>
                              </a:rPr>
                              <m:t> − </m:t>
                            </m:r>
                            <m:r>
                              <a:rPr lang="de-DE" sz="1400" b="0" i="1">
                                <a:latin typeface="Cambria Math"/>
                              </a:rPr>
                              <m:t>𝑇𝑆</m:t>
                            </m:r>
                          </m:e>
                          <m:sub>
                            <m:r>
                              <a:rPr lang="de-DE" sz="1400" b="0" i="1">
                                <a:latin typeface="Cambria Math"/>
                              </a:rPr>
                              <m:t>𝐵𝐵</m:t>
                            </m:r>
                          </m:sub>
                        </m:sSub>
                      </m:den>
                    </m:f>
                  </m:oMath>
                </m:oMathPara>
              </a14:m>
              <a:endParaRPr lang="de-DE" sz="1400"/>
            </a:p>
          </xdr:txBody>
        </xdr:sp>
      </mc:Choice>
      <mc:Fallback xmlns="">
        <xdr:sp macro="" textlink="">
          <xdr:nvSpPr>
            <xdr:cNvPr id="17" name="Textfeld 16"/>
            <xdr:cNvSpPr txBox="1"/>
          </xdr:nvSpPr>
          <xdr:spPr>
            <a:xfrm>
              <a:off x="3152775" y="22069425"/>
              <a:ext cx="1769459" cy="533672"/>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i="0">
                  <a:latin typeface="Cambria Math"/>
                </a:rPr>
                <a:t>𝑅</a:t>
              </a:r>
              <a:r>
                <a:rPr lang="de-DE" sz="1400" b="0" i="0">
                  <a:latin typeface="Cambria Math"/>
                </a:rPr>
                <a:t>𝑉</a:t>
              </a:r>
              <a:r>
                <a:rPr lang="de-DE" sz="1400" b="0" i="0">
                  <a:latin typeface="Cambria Math"/>
                  <a:ea typeface="Cambria Math"/>
                </a:rPr>
                <a:t>=</a:t>
              </a:r>
              <a:r>
                <a:rPr lang="de-DE" sz="1400" b="0" i="0">
                  <a:latin typeface="Cambria Math"/>
                </a:rPr>
                <a:t>  〖𝑇𝑆〗_𝐵𝐵/〖〖𝑇𝑆〗_𝑅𝑆  − 𝑇𝑆〗_𝐵𝐵 </a:t>
              </a:r>
              <a:endParaRPr lang="de-DE" sz="1400"/>
            </a:p>
          </xdr:txBody>
        </xdr:sp>
      </mc:Fallback>
    </mc:AlternateContent>
    <xdr:clientData/>
  </xdr:oneCellAnchor>
  <xdr:oneCellAnchor>
    <xdr:from>
      <xdr:col>2</xdr:col>
      <xdr:colOff>228601</xdr:colOff>
      <xdr:row>13</xdr:row>
      <xdr:rowOff>123826</xdr:rowOff>
    </xdr:from>
    <xdr:ext cx="2035301" cy="497059"/>
    <mc:AlternateContent xmlns:mc="http://schemas.openxmlformats.org/markup-compatibility/2006" xmlns:a14="http://schemas.microsoft.com/office/drawing/2010/main">
      <mc:Choice Requires="a14">
        <xdr:sp macro="" textlink="">
          <xdr:nvSpPr>
            <xdr:cNvPr id="21" name="Textfeld 20">
              <a:extLst>
                <a:ext uri="{FF2B5EF4-FFF2-40B4-BE49-F238E27FC236}">
                  <a16:creationId xmlns:a16="http://schemas.microsoft.com/office/drawing/2014/main" id="{00000000-0008-0000-1700-000015000000}"/>
                </a:ext>
              </a:extLst>
            </xdr:cNvPr>
            <xdr:cNvSpPr txBox="1"/>
          </xdr:nvSpPr>
          <xdr:spPr>
            <a:xfrm>
              <a:off x="3152776" y="22850476"/>
              <a:ext cx="2035301" cy="497059"/>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left"/>
                  </m:oMathParaPr>
                  <m:oMath xmlns:m="http://schemas.openxmlformats.org/officeDocument/2006/math">
                    <m:sSub>
                      <m:sSubPr>
                        <m:ctrlPr>
                          <a:rPr lang="de-DE" sz="1400" i="1">
                            <a:latin typeface="Cambria Math" panose="02040503050406030204" pitchFamily="18" charset="0"/>
                          </a:rPr>
                        </m:ctrlPr>
                      </m:sSubPr>
                      <m:e>
                        <m:r>
                          <a:rPr lang="de-DE" sz="1400" b="0" i="1">
                            <a:latin typeface="Cambria Math"/>
                          </a:rPr>
                          <m:t>𝑇𝑆</m:t>
                        </m:r>
                      </m:e>
                      <m:sub>
                        <m:r>
                          <a:rPr lang="de-DE" sz="1400" b="0" i="1">
                            <a:latin typeface="Cambria Math"/>
                          </a:rPr>
                          <m:t>𝑅𝑆</m:t>
                        </m:r>
                      </m:sub>
                    </m:sSub>
                    <m:r>
                      <a:rPr lang="de-DE" sz="1400" b="0" i="1">
                        <a:latin typeface="Cambria Math"/>
                        <a:ea typeface="Cambria Math"/>
                      </a:rPr>
                      <m:t>=</m:t>
                    </m:r>
                    <m:r>
                      <a:rPr lang="de-DE" sz="1400" b="0" i="1">
                        <a:latin typeface="Cambria Math"/>
                      </a:rPr>
                      <m:t> </m:t>
                    </m:r>
                    <m:sSub>
                      <m:sSubPr>
                        <m:ctrlPr>
                          <a:rPr lang="de-DE" sz="1400" b="0" i="1">
                            <a:latin typeface="Cambria Math" panose="02040503050406030204" pitchFamily="18" charset="0"/>
                          </a:rPr>
                        </m:ctrlPr>
                      </m:sSubPr>
                      <m:e>
                        <m:r>
                          <a:rPr lang="de-DE" sz="1400" b="0" i="1">
                            <a:latin typeface="Cambria Math"/>
                          </a:rPr>
                          <m:t>𝑇𝑆</m:t>
                        </m:r>
                      </m:e>
                      <m:sub>
                        <m:r>
                          <a:rPr lang="de-DE" sz="1400" b="0" i="1">
                            <a:latin typeface="Cambria Math"/>
                          </a:rPr>
                          <m:t>𝐵𝐵</m:t>
                        </m:r>
                      </m:sub>
                    </m:sSub>
                    <m:r>
                      <a:rPr lang="de-DE" sz="1400" b="0" i="1">
                        <a:latin typeface="Cambria Math"/>
                      </a:rPr>
                      <m:t> ∗ </m:t>
                    </m:r>
                    <m:f>
                      <m:fPr>
                        <m:ctrlPr>
                          <a:rPr lang="de-DE" sz="1400" b="0" i="1">
                            <a:latin typeface="Cambria Math" panose="02040503050406030204" pitchFamily="18" charset="0"/>
                          </a:rPr>
                        </m:ctrlPr>
                      </m:fPr>
                      <m:num>
                        <m:r>
                          <a:rPr lang="de-DE" sz="1400" b="0" i="1">
                            <a:latin typeface="Cambria Math"/>
                          </a:rPr>
                          <m:t>1+</m:t>
                        </m:r>
                        <m:r>
                          <a:rPr lang="de-DE" sz="1400" b="0" i="1">
                            <a:latin typeface="Cambria Math"/>
                          </a:rPr>
                          <m:t>𝑅𝑉</m:t>
                        </m:r>
                      </m:num>
                      <m:den>
                        <m:r>
                          <a:rPr lang="de-DE" sz="1400" b="0" i="1">
                            <a:latin typeface="Cambria Math"/>
                          </a:rPr>
                          <m:t>𝑅𝑉</m:t>
                        </m:r>
                      </m:den>
                    </m:f>
                  </m:oMath>
                </m:oMathPara>
              </a14:m>
              <a:endParaRPr lang="de-DE" sz="1400"/>
            </a:p>
          </xdr:txBody>
        </xdr:sp>
      </mc:Choice>
      <mc:Fallback xmlns="">
        <xdr:sp macro="" textlink="">
          <xdr:nvSpPr>
            <xdr:cNvPr id="21" name="Textfeld 20"/>
            <xdr:cNvSpPr txBox="1"/>
          </xdr:nvSpPr>
          <xdr:spPr>
            <a:xfrm>
              <a:off x="3152776" y="22850476"/>
              <a:ext cx="2035301" cy="497059"/>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400" i="0">
                  <a:latin typeface="Cambria Math"/>
                </a:rPr>
                <a:t>〖</a:t>
              </a:r>
              <a:r>
                <a:rPr lang="de-DE" sz="1400" b="0" i="0">
                  <a:latin typeface="Cambria Math"/>
                </a:rPr>
                <a:t>𝑇𝑆〗_𝑅𝑆</a:t>
              </a:r>
              <a:r>
                <a:rPr lang="de-DE" sz="1400" b="0" i="0">
                  <a:latin typeface="Cambria Math"/>
                  <a:ea typeface="Cambria Math"/>
                </a:rPr>
                <a:t>=</a:t>
              </a:r>
              <a:r>
                <a:rPr lang="de-DE" sz="1400" b="0" i="0">
                  <a:latin typeface="Cambria Math"/>
                </a:rPr>
                <a:t> 〖𝑇𝑆〗_𝐵𝐵  ∗  (1+𝑅𝑉)/𝑅𝑉</a:t>
              </a:r>
              <a:endParaRPr lang="de-DE" sz="14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twoCellAnchor editAs="oneCell">
    <xdr:from>
      <xdr:col>2</xdr:col>
      <xdr:colOff>266701</xdr:colOff>
      <xdr:row>2</xdr:row>
      <xdr:rowOff>114300</xdr:rowOff>
    </xdr:from>
    <xdr:to>
      <xdr:col>2</xdr:col>
      <xdr:colOff>1933575</xdr:colOff>
      <xdr:row>2</xdr:row>
      <xdr:rowOff>855133</xdr:rowOff>
    </xdr:to>
    <xdr:pic>
      <xdr:nvPicPr>
        <xdr:cNvPr id="2" name="Grafik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6" y="619125"/>
          <a:ext cx="1666874" cy="740833"/>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266701</xdr:colOff>
      <xdr:row>6</xdr:row>
      <xdr:rowOff>161925</xdr:rowOff>
    </xdr:from>
    <xdr:to>
      <xdr:col>2</xdr:col>
      <xdr:colOff>2228851</xdr:colOff>
      <xdr:row>6</xdr:row>
      <xdr:rowOff>843753</xdr:rowOff>
    </xdr:to>
    <xdr:pic>
      <xdr:nvPicPr>
        <xdr:cNvPr id="3" name="Grafik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6" y="4962525"/>
          <a:ext cx="1962150" cy="681828"/>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266700</xdr:colOff>
      <xdr:row>7</xdr:row>
      <xdr:rowOff>995362</xdr:rowOff>
    </xdr:from>
    <xdr:ext cx="2333625" cy="342786"/>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1800-000004000000}"/>
                </a:ext>
              </a:extLst>
            </xdr:cNvPr>
            <xdr:cNvSpPr txBox="1"/>
          </xdr:nvSpPr>
          <xdr:spPr>
            <a:xfrm>
              <a:off x="3190875" y="6805612"/>
              <a:ext cx="2333625" cy="34278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r>
                      <a:rPr lang="de-DE" sz="1600" b="0" i="1">
                        <a:latin typeface="Cambria Math"/>
                      </a:rPr>
                      <m:t>=</m:t>
                    </m:r>
                    <m:d>
                      <m:dPr>
                        <m:ctrlPr>
                          <a:rPr lang="de-DE" sz="1600" b="0" i="1">
                            <a:latin typeface="Cambria Math" panose="02040503050406030204" pitchFamily="18" charset="0"/>
                          </a:rPr>
                        </m:ctrlPr>
                      </m:dPr>
                      <m:e>
                        <m:r>
                          <a:rPr lang="de-DE" sz="1600" b="0" i="1">
                            <a:latin typeface="Cambria Math"/>
                          </a:rPr>
                          <m:t>𝑅𝐹</m:t>
                        </m:r>
                        <m:r>
                          <a:rPr lang="de-DE" sz="1600" b="0" i="1">
                            <a:latin typeface="Cambria Math"/>
                          </a:rPr>
                          <m:t> −</m:t>
                        </m:r>
                        <m:r>
                          <a:rPr lang="de-DE" sz="1600" b="0" i="1">
                            <a:latin typeface="Cambria Math"/>
                          </a:rPr>
                          <m:t>𝑅𝑉</m:t>
                        </m:r>
                      </m:e>
                    </m:d>
                    <m:r>
                      <a:rPr lang="de-DE" sz="1600" b="0" i="1">
                        <a:latin typeface="Cambria Math"/>
                      </a:rPr>
                      <m:t> ∗ </m:t>
                    </m:r>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oMath>
                </m:oMathPara>
              </a14:m>
              <a:endParaRPr lang="de-DE" sz="1600"/>
            </a:p>
          </xdr:txBody>
        </xdr:sp>
      </mc:Choice>
      <mc:Fallback xmlns="">
        <xdr:sp macro="" textlink="">
          <xdr:nvSpPr>
            <xdr:cNvPr id="4" name="Textfeld 3"/>
            <xdr:cNvSpPr txBox="1"/>
          </xdr:nvSpPr>
          <xdr:spPr>
            <a:xfrm>
              <a:off x="3190875" y="6805612"/>
              <a:ext cx="2333625" cy="34278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𝑄_𝑅𝑍=(𝑅𝐹 −𝑅𝑉)  ∗ 𝑄_𝑡</a:t>
              </a:r>
              <a:endParaRPr lang="de-DE" sz="1600"/>
            </a:p>
          </xdr:txBody>
        </xdr:sp>
      </mc:Fallback>
    </mc:AlternateContent>
    <xdr:clientData/>
  </xdr:oneCellAnchor>
  <xdr:oneCellAnchor>
    <xdr:from>
      <xdr:col>2</xdr:col>
      <xdr:colOff>619125</xdr:colOff>
      <xdr:row>7</xdr:row>
      <xdr:rowOff>133350</xdr:rowOff>
    </xdr:from>
    <xdr:ext cx="2943225" cy="617798"/>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1800-000005000000}"/>
                </a:ext>
              </a:extLst>
            </xdr:cNvPr>
            <xdr:cNvSpPr txBox="1"/>
          </xdr:nvSpPr>
          <xdr:spPr>
            <a:xfrm>
              <a:off x="3543300" y="5943600"/>
              <a:ext cx="2943225" cy="6177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de-DE" sz="1600" b="0" i="1">
                        <a:latin typeface="Cambria Math"/>
                      </a:rPr>
                      <m:t>𝑅𝐹</m:t>
                    </m:r>
                    <m:r>
                      <a:rPr lang="de-DE" sz="1600" b="0" i="1">
                        <a:latin typeface="Cambria Math"/>
                      </a:rPr>
                      <m:t>=</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𝑅𝑆</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r>
                      <a:rPr lang="de-DE" sz="1600" b="0" i="1">
                        <a:latin typeface="Cambria Math"/>
                      </a:rPr>
                      <m:t> </m:t>
                    </m:r>
                    <m:r>
                      <a:rPr lang="de-DE" sz="1600" b="0" i="0">
                        <a:latin typeface="Cambria Math"/>
                      </a:rPr>
                      <m:t>=</m:t>
                    </m:r>
                    <m:r>
                      <m:rPr>
                        <m:sty m:val="p"/>
                      </m:rPr>
                      <a:rPr lang="de-DE" sz="1600" b="0" i="0">
                        <a:latin typeface="Cambria Math"/>
                      </a:rPr>
                      <m:t>RV</m:t>
                    </m:r>
                    <m:r>
                      <a:rPr lang="de-DE" sz="1600" b="0" i="0">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oMath>
                </m:oMathPara>
              </a14:m>
              <a:endParaRPr lang="de-DE" sz="1600"/>
            </a:p>
          </xdr:txBody>
        </xdr:sp>
      </mc:Choice>
      <mc:Fallback xmlns="">
        <xdr:sp macro="" textlink="">
          <xdr:nvSpPr>
            <xdr:cNvPr id="5" name="Textfeld 4"/>
            <xdr:cNvSpPr txBox="1"/>
          </xdr:nvSpPr>
          <xdr:spPr>
            <a:xfrm>
              <a:off x="3543300" y="5943600"/>
              <a:ext cx="2943225" cy="6177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𝑅𝐹=𝑄_𝑅𝑆/𝑄_𝑡 +  𝑄_𝑅𝑍/𝑄_𝑡   =RV+  𝑄_𝑅𝑍/𝑄_𝑡 </a:t>
              </a:r>
              <a:endParaRPr lang="de-DE" sz="160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266701</xdr:colOff>
      <xdr:row>2</xdr:row>
      <xdr:rowOff>114300</xdr:rowOff>
    </xdr:from>
    <xdr:to>
      <xdr:col>2</xdr:col>
      <xdr:colOff>1933575</xdr:colOff>
      <xdr:row>2</xdr:row>
      <xdr:rowOff>759883</xdr:rowOff>
    </xdr:to>
    <xdr:pic>
      <xdr:nvPicPr>
        <xdr:cNvPr id="6" name="Grafik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6" y="619125"/>
          <a:ext cx="1666874" cy="740833"/>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266701</xdr:colOff>
      <xdr:row>6</xdr:row>
      <xdr:rowOff>161925</xdr:rowOff>
    </xdr:from>
    <xdr:to>
      <xdr:col>2</xdr:col>
      <xdr:colOff>2228851</xdr:colOff>
      <xdr:row>6</xdr:row>
      <xdr:rowOff>758028</xdr:rowOff>
    </xdr:to>
    <xdr:pic>
      <xdr:nvPicPr>
        <xdr:cNvPr id="8" name="Grafik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6" y="4962525"/>
          <a:ext cx="1962150" cy="681828"/>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266700</xdr:colOff>
      <xdr:row>7</xdr:row>
      <xdr:rowOff>995362</xdr:rowOff>
    </xdr:from>
    <xdr:ext cx="2333625" cy="342786"/>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1900-00000A000000}"/>
                </a:ext>
              </a:extLst>
            </xdr:cNvPr>
            <xdr:cNvSpPr txBox="1"/>
          </xdr:nvSpPr>
          <xdr:spPr>
            <a:xfrm>
              <a:off x="3190875" y="5300662"/>
              <a:ext cx="2333625" cy="34278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r>
                      <a:rPr lang="de-DE" sz="1600" b="0" i="1">
                        <a:latin typeface="Cambria Math"/>
                      </a:rPr>
                      <m:t>=</m:t>
                    </m:r>
                    <m:d>
                      <m:dPr>
                        <m:ctrlPr>
                          <a:rPr lang="de-DE" sz="1600" b="0" i="1">
                            <a:latin typeface="Cambria Math" panose="02040503050406030204" pitchFamily="18" charset="0"/>
                          </a:rPr>
                        </m:ctrlPr>
                      </m:dPr>
                      <m:e>
                        <m:r>
                          <a:rPr lang="de-DE" sz="1600" b="0" i="1">
                            <a:latin typeface="Cambria Math"/>
                          </a:rPr>
                          <m:t>𝑅𝐹</m:t>
                        </m:r>
                        <m:r>
                          <a:rPr lang="de-DE" sz="1600" b="0" i="1">
                            <a:latin typeface="Cambria Math"/>
                          </a:rPr>
                          <m:t> −</m:t>
                        </m:r>
                        <m:r>
                          <a:rPr lang="de-DE" sz="1600" b="0" i="1">
                            <a:latin typeface="Cambria Math"/>
                          </a:rPr>
                          <m:t>𝑅𝑉</m:t>
                        </m:r>
                      </m:e>
                    </m:d>
                    <m:r>
                      <a:rPr lang="de-DE" sz="1600" b="0" i="1">
                        <a:latin typeface="Cambria Math"/>
                      </a:rPr>
                      <m:t> ∗ </m:t>
                    </m:r>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oMath>
                </m:oMathPara>
              </a14:m>
              <a:endParaRPr lang="de-DE" sz="1600"/>
            </a:p>
          </xdr:txBody>
        </xdr:sp>
      </mc:Choice>
      <mc:Fallback xmlns="">
        <xdr:sp macro="" textlink="">
          <xdr:nvSpPr>
            <xdr:cNvPr id="10" name="Textfeld 9"/>
            <xdr:cNvSpPr txBox="1"/>
          </xdr:nvSpPr>
          <xdr:spPr>
            <a:xfrm>
              <a:off x="3190875" y="5300662"/>
              <a:ext cx="2333625" cy="34278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𝑄_𝑅𝑍=(𝑅𝐹 −𝑅𝑉)  ∗ 𝑄_𝑡</a:t>
              </a:r>
              <a:endParaRPr lang="de-DE" sz="1600"/>
            </a:p>
          </xdr:txBody>
        </xdr:sp>
      </mc:Fallback>
    </mc:AlternateContent>
    <xdr:clientData/>
  </xdr:oneCellAnchor>
  <xdr:oneCellAnchor>
    <xdr:from>
      <xdr:col>2</xdr:col>
      <xdr:colOff>619125</xdr:colOff>
      <xdr:row>7</xdr:row>
      <xdr:rowOff>133350</xdr:rowOff>
    </xdr:from>
    <xdr:ext cx="2943225" cy="617798"/>
    <mc:AlternateContent xmlns:mc="http://schemas.openxmlformats.org/markup-compatibility/2006" xmlns:a14="http://schemas.microsoft.com/office/drawing/2010/main">
      <mc:Choice Requires="a14">
        <xdr:sp macro="" textlink="">
          <xdr:nvSpPr>
            <xdr:cNvPr id="12" name="Textfeld 11">
              <a:extLst>
                <a:ext uri="{FF2B5EF4-FFF2-40B4-BE49-F238E27FC236}">
                  <a16:creationId xmlns:a16="http://schemas.microsoft.com/office/drawing/2014/main" id="{00000000-0008-0000-1900-00000C000000}"/>
                </a:ext>
              </a:extLst>
            </xdr:cNvPr>
            <xdr:cNvSpPr txBox="1"/>
          </xdr:nvSpPr>
          <xdr:spPr>
            <a:xfrm>
              <a:off x="3543300" y="4438650"/>
              <a:ext cx="2943225" cy="6177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r>
                      <a:rPr lang="de-DE" sz="1600" b="0" i="1">
                        <a:latin typeface="Cambria Math"/>
                      </a:rPr>
                      <m:t>𝑅𝐹</m:t>
                    </m:r>
                    <m:r>
                      <a:rPr lang="de-DE" sz="1600" b="0" i="1">
                        <a:latin typeface="Cambria Math"/>
                      </a:rPr>
                      <m:t>=</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𝑅𝑆</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r>
                      <a:rPr lang="de-DE" sz="1600" b="0" i="1">
                        <a:latin typeface="Cambria Math"/>
                      </a:rPr>
                      <m:t> </m:t>
                    </m:r>
                    <m:r>
                      <a:rPr lang="de-DE" sz="1600" b="0" i="0">
                        <a:latin typeface="Cambria Math"/>
                      </a:rPr>
                      <m:t>=</m:t>
                    </m:r>
                    <m:r>
                      <m:rPr>
                        <m:sty m:val="p"/>
                      </m:rPr>
                      <a:rPr lang="de-DE" sz="1600" b="0" i="0">
                        <a:latin typeface="Cambria Math"/>
                      </a:rPr>
                      <m:t>RV</m:t>
                    </m:r>
                    <m:r>
                      <a:rPr lang="de-DE" sz="1600" b="0" i="0">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𝑅𝑍</m:t>
                            </m:r>
                          </m:sub>
                        </m:sSub>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𝑡</m:t>
                            </m:r>
                          </m:sub>
                        </m:sSub>
                      </m:den>
                    </m:f>
                  </m:oMath>
                </m:oMathPara>
              </a14:m>
              <a:endParaRPr lang="de-DE" sz="1600"/>
            </a:p>
          </xdr:txBody>
        </xdr:sp>
      </mc:Choice>
      <mc:Fallback xmlns="">
        <xdr:sp macro="" textlink="">
          <xdr:nvSpPr>
            <xdr:cNvPr id="12" name="Textfeld 11"/>
            <xdr:cNvSpPr txBox="1"/>
          </xdr:nvSpPr>
          <xdr:spPr>
            <a:xfrm>
              <a:off x="3543300" y="4438650"/>
              <a:ext cx="2943225" cy="6177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𝑅𝐹=𝑄_𝑅𝑆/𝑄_𝑡 +  𝑄_𝑅𝑍/𝑄_𝑡   =RV+  𝑄_𝑅𝑍/𝑄_𝑡 </a:t>
              </a:r>
              <a:endParaRPr lang="de-DE" sz="160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twoCellAnchor editAs="oneCell">
    <xdr:from>
      <xdr:col>3</xdr:col>
      <xdr:colOff>180975</xdr:colOff>
      <xdr:row>2</xdr:row>
      <xdr:rowOff>104775</xdr:rowOff>
    </xdr:from>
    <xdr:to>
      <xdr:col>3</xdr:col>
      <xdr:colOff>4161736</xdr:colOff>
      <xdr:row>2</xdr:row>
      <xdr:rowOff>764655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609600"/>
          <a:ext cx="3980761" cy="65988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8</xdr:row>
      <xdr:rowOff>133351</xdr:rowOff>
    </xdr:from>
    <xdr:to>
      <xdr:col>3</xdr:col>
      <xdr:colOff>5299096</xdr:colOff>
      <xdr:row>8</xdr:row>
      <xdr:rowOff>539431</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6162676"/>
          <a:ext cx="5118121" cy="40608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285750</xdr:rowOff>
    </xdr:from>
    <xdr:to>
      <xdr:col>3</xdr:col>
      <xdr:colOff>3593055</xdr:colOff>
      <xdr:row>12</xdr:row>
      <xdr:rowOff>666450</xdr:rowOff>
    </xdr:to>
    <xdr:pic>
      <xdr:nvPicPr>
        <xdr:cNvPr id="4" name="Pictur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7650" y="8753475"/>
          <a:ext cx="3412080" cy="3807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13</xdr:row>
      <xdr:rowOff>276225</xdr:rowOff>
    </xdr:from>
    <xdr:to>
      <xdr:col>3</xdr:col>
      <xdr:colOff>4263286</xdr:colOff>
      <xdr:row>14</xdr:row>
      <xdr:rowOff>352425</xdr:rowOff>
    </xdr:to>
    <xdr:pic>
      <xdr:nvPicPr>
        <xdr:cNvPr id="5" name="Picture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57650" y="9639300"/>
          <a:ext cx="4082311" cy="7143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17</xdr:row>
      <xdr:rowOff>200025</xdr:rowOff>
    </xdr:from>
    <xdr:to>
      <xdr:col>3</xdr:col>
      <xdr:colOff>3085305</xdr:colOff>
      <xdr:row>17</xdr:row>
      <xdr:rowOff>876300</xdr:rowOff>
    </xdr:to>
    <xdr:pic>
      <xdr:nvPicPr>
        <xdr:cNvPr id="6" name="Picture 5">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57650" y="13373100"/>
          <a:ext cx="2904330" cy="6762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3</xdr:row>
      <xdr:rowOff>123825</xdr:rowOff>
    </xdr:from>
    <xdr:to>
      <xdr:col>3</xdr:col>
      <xdr:colOff>5563126</xdr:colOff>
      <xdr:row>3</xdr:row>
      <xdr:rowOff>519753</xdr:rowOff>
    </xdr:to>
    <xdr:pic>
      <xdr:nvPicPr>
        <xdr:cNvPr id="7" name="Picture 1">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57650" y="1485900"/>
          <a:ext cx="5382151" cy="395928"/>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180976</xdr:colOff>
      <xdr:row>15</xdr:row>
      <xdr:rowOff>114300</xdr:rowOff>
    </xdr:from>
    <xdr:to>
      <xdr:col>3</xdr:col>
      <xdr:colOff>4162426</xdr:colOff>
      <xdr:row>16</xdr:row>
      <xdr:rowOff>1171575</xdr:rowOff>
    </xdr:to>
    <xdr:grpSp>
      <xdr:nvGrpSpPr>
        <xdr:cNvPr id="8" name="Gruppieren 9">
          <a:extLst>
            <a:ext uri="{FF2B5EF4-FFF2-40B4-BE49-F238E27FC236}">
              <a16:creationId xmlns:a16="http://schemas.microsoft.com/office/drawing/2014/main" id="{00000000-0008-0000-1A00-000008000000}"/>
            </a:ext>
          </a:extLst>
        </xdr:cNvPr>
        <xdr:cNvGrpSpPr>
          <a:grpSpLocks/>
        </xdr:cNvGrpSpPr>
      </xdr:nvGrpSpPr>
      <xdr:grpSpPr bwMode="auto">
        <a:xfrm>
          <a:off x="4057651" y="11515725"/>
          <a:ext cx="3981450" cy="2324100"/>
          <a:chOff x="12963525" y="5629355"/>
          <a:chExt cx="3672000" cy="2186702"/>
        </a:xfrm>
        <a:effectLst>
          <a:glow rad="139700">
            <a:schemeClr val="accent3">
              <a:satMod val="175000"/>
              <a:alpha val="40000"/>
            </a:schemeClr>
          </a:glow>
        </a:effectLst>
      </xdr:grpSpPr>
      <xdr:pic>
        <xdr:nvPicPr>
          <xdr:cNvPr id="9" name="Picture 4">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963525" y="5943607"/>
            <a:ext cx="3600000" cy="187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5">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963525" y="5629355"/>
            <a:ext cx="3672000" cy="270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180975</xdr:colOff>
      <xdr:row>4</xdr:row>
      <xdr:rowOff>180975</xdr:rowOff>
    </xdr:from>
    <xdr:to>
      <xdr:col>3</xdr:col>
      <xdr:colOff>5410200</xdr:colOff>
      <xdr:row>4</xdr:row>
      <xdr:rowOff>838200</xdr:rowOff>
    </xdr:to>
    <xdr:pic>
      <xdr:nvPicPr>
        <xdr:cNvPr id="11" name="Grafik 10">
          <a:extLst>
            <a:ext uri="{FF2B5EF4-FFF2-40B4-BE49-F238E27FC236}">
              <a16:creationId xmlns:a16="http://schemas.microsoft.com/office/drawing/2014/main" id="{00000000-0008-0000-1A00-00000B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4522" b="60571"/>
        <a:stretch/>
      </xdr:blipFill>
      <xdr:spPr bwMode="auto">
        <a:xfrm>
          <a:off x="4057650" y="2171700"/>
          <a:ext cx="5229225" cy="6572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5</xdr:row>
      <xdr:rowOff>238698</xdr:rowOff>
    </xdr:from>
    <xdr:to>
      <xdr:col>3</xdr:col>
      <xdr:colOff>4972050</xdr:colOff>
      <xdr:row>5</xdr:row>
      <xdr:rowOff>799526</xdr:rowOff>
    </xdr:to>
    <xdr:pic>
      <xdr:nvPicPr>
        <xdr:cNvPr id="12" name="Grafik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57650" y="3239073"/>
          <a:ext cx="4791075" cy="560828"/>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5</xdr:row>
      <xdr:rowOff>180975</xdr:rowOff>
    </xdr:from>
    <xdr:to>
      <xdr:col>5</xdr:col>
      <xdr:colOff>5229225</xdr:colOff>
      <xdr:row>5</xdr:row>
      <xdr:rowOff>857250</xdr:rowOff>
    </xdr:to>
    <xdr:pic>
      <xdr:nvPicPr>
        <xdr:cNvPr id="13" name="Grafik 12">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896600" y="3181350"/>
          <a:ext cx="5133975" cy="6762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6</xdr:row>
      <xdr:rowOff>114300</xdr:rowOff>
    </xdr:from>
    <xdr:to>
      <xdr:col>3</xdr:col>
      <xdr:colOff>4629150</xdr:colOff>
      <xdr:row>6</xdr:row>
      <xdr:rowOff>933450</xdr:rowOff>
    </xdr:to>
    <xdr:pic>
      <xdr:nvPicPr>
        <xdr:cNvPr id="14" name="Grafik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57650" y="4124325"/>
          <a:ext cx="4448175" cy="81915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7</xdr:row>
      <xdr:rowOff>276225</xdr:rowOff>
    </xdr:from>
    <xdr:to>
      <xdr:col>3</xdr:col>
      <xdr:colOff>5162550</xdr:colOff>
      <xdr:row>7</xdr:row>
      <xdr:rowOff>771525</xdr:rowOff>
    </xdr:to>
    <xdr:pic>
      <xdr:nvPicPr>
        <xdr:cNvPr id="15" name="Grafik 14">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57650" y="5295900"/>
          <a:ext cx="4981575" cy="49530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180975</xdr:colOff>
      <xdr:row>10</xdr:row>
      <xdr:rowOff>104775</xdr:rowOff>
    </xdr:from>
    <xdr:ext cx="2581275" cy="594906"/>
    <mc:AlternateContent xmlns:mc="http://schemas.openxmlformats.org/markup-compatibility/2006" xmlns:a14="http://schemas.microsoft.com/office/drawing/2010/main">
      <mc:Choice Requires="a14">
        <xdr:sp macro="" textlink="">
          <xdr:nvSpPr>
            <xdr:cNvPr id="16" name="Textfeld 15">
              <a:extLst>
                <a:ext uri="{FF2B5EF4-FFF2-40B4-BE49-F238E27FC236}">
                  <a16:creationId xmlns:a16="http://schemas.microsoft.com/office/drawing/2014/main" id="{00000000-0008-0000-1A00-000010000000}"/>
                </a:ext>
              </a:extLst>
            </xdr:cNvPr>
            <xdr:cNvSpPr txBox="1"/>
          </xdr:nvSpPr>
          <xdr:spPr>
            <a:xfrm>
              <a:off x="4057650" y="7305675"/>
              <a:ext cx="2581275" cy="594906"/>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𝑁𝑂</m:t>
                        </m:r>
                        <m:r>
                          <a:rPr lang="de-DE" sz="1600" b="0" i="1">
                            <a:latin typeface="Cambria Math"/>
                          </a:rPr>
                          <m:t>3,</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𝑁𝑂</m:t>
                            </m:r>
                            <m:r>
                              <a:rPr lang="de-DE" sz="1600" b="0" i="1">
                                <a:latin typeface="Cambria Math"/>
                              </a:rPr>
                              <m:t>3,</m:t>
                            </m:r>
                            <m:r>
                              <a:rPr lang="de-DE" sz="1600" b="0" i="1">
                                <a:latin typeface="Cambria Math"/>
                              </a:rPr>
                              <m:t>𝑍</m:t>
                            </m:r>
                          </m:sub>
                        </m:sSub>
                        <m:r>
                          <a:rPr lang="de-DE" sz="1600" b="0" i="1">
                            <a:latin typeface="Cambria Math"/>
                          </a:rPr>
                          <m:t> ∗1000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b="0"/>
            </a:p>
          </xdr:txBody>
        </xdr:sp>
      </mc:Choice>
      <mc:Fallback xmlns="">
        <xdr:sp macro="" textlink="">
          <xdr:nvSpPr>
            <xdr:cNvPr id="16" name="Textfeld 15"/>
            <xdr:cNvSpPr txBox="1"/>
          </xdr:nvSpPr>
          <xdr:spPr>
            <a:xfrm>
              <a:off x="4057650" y="7305675"/>
              <a:ext cx="2581275" cy="594906"/>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𝑆_(𝑁𝑂3,𝑍𝐵)=  (𝐵_(𝑑,𝑁𝑂3,𝑍)  ∗1000)/𝑄_𝑑 </a:t>
              </a:r>
              <a:endParaRPr lang="de-DE" sz="1600" b="0"/>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180975</xdr:colOff>
      <xdr:row>2</xdr:row>
      <xdr:rowOff>104775</xdr:rowOff>
    </xdr:from>
    <xdr:to>
      <xdr:col>3</xdr:col>
      <xdr:colOff>4161736</xdr:colOff>
      <xdr:row>2</xdr:row>
      <xdr:rowOff>764655</xdr:rowOff>
    </xdr:to>
    <xdr:pic>
      <xdr:nvPicPr>
        <xdr:cNvPr id="11274" name="Picture 1">
          <a:extLst>
            <a:ext uri="{FF2B5EF4-FFF2-40B4-BE49-F238E27FC236}">
              <a16:creationId xmlns:a16="http://schemas.microsoft.com/office/drawing/2014/main" id="{00000000-0008-0000-1B00-00000A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371600"/>
          <a:ext cx="3980761" cy="65988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10</xdr:row>
      <xdr:rowOff>161926</xdr:rowOff>
    </xdr:from>
    <xdr:to>
      <xdr:col>3</xdr:col>
      <xdr:colOff>5299096</xdr:colOff>
      <xdr:row>10</xdr:row>
      <xdr:rowOff>568006</xdr:rowOff>
    </xdr:to>
    <xdr:pic>
      <xdr:nvPicPr>
        <xdr:cNvPr id="11275" name="Picture 2">
          <a:extLst>
            <a:ext uri="{FF2B5EF4-FFF2-40B4-BE49-F238E27FC236}">
              <a16:creationId xmlns:a16="http://schemas.microsoft.com/office/drawing/2014/main" id="{00000000-0008-0000-1B00-00000B2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6953251"/>
          <a:ext cx="5118121" cy="40608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14</xdr:row>
      <xdr:rowOff>257175</xdr:rowOff>
    </xdr:from>
    <xdr:to>
      <xdr:col>3</xdr:col>
      <xdr:colOff>3593055</xdr:colOff>
      <xdr:row>14</xdr:row>
      <xdr:rowOff>637875</xdr:rowOff>
    </xdr:to>
    <xdr:pic>
      <xdr:nvPicPr>
        <xdr:cNvPr id="11276" name="Picture 3">
          <a:extLst>
            <a:ext uri="{FF2B5EF4-FFF2-40B4-BE49-F238E27FC236}">
              <a16:creationId xmlns:a16="http://schemas.microsoft.com/office/drawing/2014/main" id="{00000000-0008-0000-1B00-00000C2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57650" y="9486900"/>
          <a:ext cx="3412080" cy="3807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15</xdr:row>
      <xdr:rowOff>276225</xdr:rowOff>
    </xdr:from>
    <xdr:to>
      <xdr:col>3</xdr:col>
      <xdr:colOff>4263286</xdr:colOff>
      <xdr:row>16</xdr:row>
      <xdr:rowOff>352425</xdr:rowOff>
    </xdr:to>
    <xdr:pic>
      <xdr:nvPicPr>
        <xdr:cNvPr id="11277" name="Picture 4">
          <a:extLst>
            <a:ext uri="{FF2B5EF4-FFF2-40B4-BE49-F238E27FC236}">
              <a16:creationId xmlns:a16="http://schemas.microsoft.com/office/drawing/2014/main" id="{00000000-0008-0000-1B00-00000D2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57650" y="10401300"/>
          <a:ext cx="4082311" cy="7143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19</xdr:row>
      <xdr:rowOff>190500</xdr:rowOff>
    </xdr:from>
    <xdr:to>
      <xdr:col>3</xdr:col>
      <xdr:colOff>3085305</xdr:colOff>
      <xdr:row>19</xdr:row>
      <xdr:rowOff>866775</xdr:rowOff>
    </xdr:to>
    <xdr:pic>
      <xdr:nvPicPr>
        <xdr:cNvPr id="11278" name="Picture 5">
          <a:extLst>
            <a:ext uri="{FF2B5EF4-FFF2-40B4-BE49-F238E27FC236}">
              <a16:creationId xmlns:a16="http://schemas.microsoft.com/office/drawing/2014/main" id="{00000000-0008-0000-1B00-00000E2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57650" y="14125575"/>
          <a:ext cx="2904330" cy="6762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3</xdr:row>
      <xdr:rowOff>95250</xdr:rowOff>
    </xdr:from>
    <xdr:to>
      <xdr:col>3</xdr:col>
      <xdr:colOff>5563126</xdr:colOff>
      <xdr:row>3</xdr:row>
      <xdr:rowOff>491178</xdr:rowOff>
    </xdr:to>
    <xdr:pic>
      <xdr:nvPicPr>
        <xdr:cNvPr id="11279" name="Picture 1">
          <a:extLst>
            <a:ext uri="{FF2B5EF4-FFF2-40B4-BE49-F238E27FC236}">
              <a16:creationId xmlns:a16="http://schemas.microsoft.com/office/drawing/2014/main" id="{00000000-0008-0000-1B00-00000F2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57650" y="2219325"/>
          <a:ext cx="5382151" cy="395928"/>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180975</xdr:colOff>
      <xdr:row>17</xdr:row>
      <xdr:rowOff>95250</xdr:rowOff>
    </xdr:from>
    <xdr:to>
      <xdr:col>3</xdr:col>
      <xdr:colOff>4410074</xdr:colOff>
      <xdr:row>18</xdr:row>
      <xdr:rowOff>1114424</xdr:rowOff>
    </xdr:to>
    <xdr:grpSp>
      <xdr:nvGrpSpPr>
        <xdr:cNvPr id="11280" name="Gruppieren 9">
          <a:extLst>
            <a:ext uri="{FF2B5EF4-FFF2-40B4-BE49-F238E27FC236}">
              <a16:creationId xmlns:a16="http://schemas.microsoft.com/office/drawing/2014/main" id="{00000000-0008-0000-1B00-0000102C0000}"/>
            </a:ext>
          </a:extLst>
        </xdr:cNvPr>
        <xdr:cNvGrpSpPr>
          <a:grpSpLocks/>
        </xdr:cNvGrpSpPr>
      </xdr:nvGrpSpPr>
      <xdr:grpSpPr bwMode="auto">
        <a:xfrm>
          <a:off x="4057650" y="12753975"/>
          <a:ext cx="4229099" cy="2285999"/>
          <a:chOff x="12963525" y="5629355"/>
          <a:chExt cx="3672000" cy="2186702"/>
        </a:xfrm>
        <a:effectLst>
          <a:glow rad="139700">
            <a:schemeClr val="accent3">
              <a:satMod val="175000"/>
              <a:alpha val="40000"/>
            </a:schemeClr>
          </a:glow>
        </a:effectLst>
      </xdr:grpSpPr>
      <xdr:pic>
        <xdr:nvPicPr>
          <xdr:cNvPr id="11281" name="Picture 4">
            <a:extLst>
              <a:ext uri="{FF2B5EF4-FFF2-40B4-BE49-F238E27FC236}">
                <a16:creationId xmlns:a16="http://schemas.microsoft.com/office/drawing/2014/main" id="{00000000-0008-0000-1B00-0000112C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963525" y="5943607"/>
            <a:ext cx="3600000" cy="187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82" name="Picture 5">
            <a:extLst>
              <a:ext uri="{FF2B5EF4-FFF2-40B4-BE49-F238E27FC236}">
                <a16:creationId xmlns:a16="http://schemas.microsoft.com/office/drawing/2014/main" id="{00000000-0008-0000-1B00-0000122C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963525" y="5629355"/>
            <a:ext cx="3672000" cy="270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180975</xdr:colOff>
      <xdr:row>6</xdr:row>
      <xdr:rowOff>180975</xdr:rowOff>
    </xdr:from>
    <xdr:to>
      <xdr:col>3</xdr:col>
      <xdr:colOff>5410200</xdr:colOff>
      <xdr:row>6</xdr:row>
      <xdr:rowOff>838200</xdr:rowOff>
    </xdr:to>
    <xdr:pic>
      <xdr:nvPicPr>
        <xdr:cNvPr id="11" name="Grafik 10">
          <a:extLst>
            <a:ext uri="{FF2B5EF4-FFF2-40B4-BE49-F238E27FC236}">
              <a16:creationId xmlns:a16="http://schemas.microsoft.com/office/drawing/2014/main" id="{00000000-0008-0000-1B00-00000B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4522" b="60571"/>
        <a:stretch/>
      </xdr:blipFill>
      <xdr:spPr bwMode="auto">
        <a:xfrm>
          <a:off x="4057650" y="2933700"/>
          <a:ext cx="5229225" cy="6572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7</xdr:row>
      <xdr:rowOff>229173</xdr:rowOff>
    </xdr:from>
    <xdr:to>
      <xdr:col>3</xdr:col>
      <xdr:colOff>4972050</xdr:colOff>
      <xdr:row>7</xdr:row>
      <xdr:rowOff>790001</xdr:rowOff>
    </xdr:to>
    <xdr:pic>
      <xdr:nvPicPr>
        <xdr:cNvPr id="13" name="Grafik 1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57650" y="3991548"/>
          <a:ext cx="4791075" cy="560828"/>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6</xdr:row>
      <xdr:rowOff>180975</xdr:rowOff>
    </xdr:from>
    <xdr:to>
      <xdr:col>5</xdr:col>
      <xdr:colOff>5229225</xdr:colOff>
      <xdr:row>6</xdr:row>
      <xdr:rowOff>857250</xdr:rowOff>
    </xdr:to>
    <xdr:pic>
      <xdr:nvPicPr>
        <xdr:cNvPr id="14" name="Grafik 13">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782300" y="3181350"/>
          <a:ext cx="5133975" cy="67627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8</xdr:row>
      <xdr:rowOff>104775</xdr:rowOff>
    </xdr:from>
    <xdr:to>
      <xdr:col>3</xdr:col>
      <xdr:colOff>4629150</xdr:colOff>
      <xdr:row>8</xdr:row>
      <xdr:rowOff>923925</xdr:rowOff>
    </xdr:to>
    <xdr:pic>
      <xdr:nvPicPr>
        <xdr:cNvPr id="15" name="Grafik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57650" y="4876800"/>
          <a:ext cx="4448175" cy="81915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180975</xdr:colOff>
      <xdr:row>9</xdr:row>
      <xdr:rowOff>304800</xdr:rowOff>
    </xdr:from>
    <xdr:to>
      <xdr:col>3</xdr:col>
      <xdr:colOff>5162550</xdr:colOff>
      <xdr:row>9</xdr:row>
      <xdr:rowOff>800100</xdr:rowOff>
    </xdr:to>
    <xdr:pic>
      <xdr:nvPicPr>
        <xdr:cNvPr id="16" name="Grafik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57650" y="6086475"/>
          <a:ext cx="4981575" cy="495300"/>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180975</xdr:colOff>
      <xdr:row>12</xdr:row>
      <xdr:rowOff>76200</xdr:rowOff>
    </xdr:from>
    <xdr:ext cx="2581275" cy="594906"/>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4057650" y="8039100"/>
              <a:ext cx="2581275" cy="594906"/>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sSub>
                      <m:sSubPr>
                        <m:ctrlPr>
                          <a:rPr lang="de-DE" sz="1600" b="0" i="1">
                            <a:latin typeface="Cambria Math" panose="02040503050406030204" pitchFamily="18" charset="0"/>
                          </a:rPr>
                        </m:ctrlPr>
                      </m:sSubPr>
                      <m:e>
                        <m:r>
                          <a:rPr lang="de-DE" sz="1600" b="0" i="1">
                            <a:latin typeface="Cambria Math"/>
                          </a:rPr>
                          <m:t>𝑆</m:t>
                        </m:r>
                      </m:e>
                      <m:sub>
                        <m:r>
                          <a:rPr lang="de-DE" sz="1600" b="0" i="1">
                            <a:latin typeface="Cambria Math"/>
                          </a:rPr>
                          <m:t>𝑁𝑂</m:t>
                        </m:r>
                        <m:r>
                          <a:rPr lang="de-DE" sz="1600" b="0" i="1">
                            <a:latin typeface="Cambria Math"/>
                          </a:rPr>
                          <m:t>3,</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𝑁𝑂</m:t>
                            </m:r>
                            <m:r>
                              <a:rPr lang="de-DE" sz="1600" b="0" i="1">
                                <a:latin typeface="Cambria Math"/>
                              </a:rPr>
                              <m:t>3,</m:t>
                            </m:r>
                            <m:r>
                              <a:rPr lang="de-DE" sz="1600" b="0" i="1">
                                <a:latin typeface="Cambria Math"/>
                              </a:rPr>
                              <m:t>𝑍</m:t>
                            </m:r>
                          </m:sub>
                        </m:sSub>
                        <m:r>
                          <a:rPr lang="de-DE" sz="1600" b="0" i="1">
                            <a:latin typeface="Cambria Math"/>
                          </a:rPr>
                          <m:t> ∗1000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b="0"/>
            </a:p>
          </xdr:txBody>
        </xdr:sp>
      </mc:Choice>
      <mc:Fallback xmlns="">
        <xdr:sp macro="" textlink="">
          <xdr:nvSpPr>
            <xdr:cNvPr id="2" name="Textfeld 1"/>
            <xdr:cNvSpPr txBox="1"/>
          </xdr:nvSpPr>
          <xdr:spPr>
            <a:xfrm>
              <a:off x="4057650" y="8039100"/>
              <a:ext cx="2581275" cy="594906"/>
            </a:xfrm>
            <a:prstGeom prst="rect">
              <a:avLst/>
            </a:prstGeom>
            <a:noFill/>
            <a:ln cmpd="sng">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de-DE" sz="1600" b="0" i="0">
                  <a:latin typeface="Cambria Math"/>
                </a:rPr>
                <a:t>𝑆_(𝑁𝑂3,𝑍𝐵)=  (𝐵_(𝑑,𝑁𝑂3,𝑍)  ∗1000)/𝑄_𝑑 </a:t>
              </a:r>
              <a:endParaRPr lang="de-DE" sz="1600" b="0"/>
            </a:p>
          </xdr:txBody>
        </xdr:sp>
      </mc:Fallback>
    </mc:AlternateContent>
    <xdr:clientData/>
  </xdr:oneCellAnchor>
  <xdr:twoCellAnchor>
    <xdr:from>
      <xdr:col>3</xdr:col>
      <xdr:colOff>171450</xdr:colOff>
      <xdr:row>4</xdr:row>
      <xdr:rowOff>142874</xdr:rowOff>
    </xdr:from>
    <xdr:to>
      <xdr:col>3</xdr:col>
      <xdr:colOff>4932058</xdr:colOff>
      <xdr:row>4</xdr:row>
      <xdr:rowOff>542925</xdr:rowOff>
    </xdr:to>
    <xdr:pic>
      <xdr:nvPicPr>
        <xdr:cNvPr id="17" name="Grafik 16">
          <a:extLst>
            <a:ext uri="{FF2B5EF4-FFF2-40B4-BE49-F238E27FC236}">
              <a16:creationId xmlns:a16="http://schemas.microsoft.com/office/drawing/2014/main" id="{ECDBD69F-3255-49C5-A06B-FE7F5011B79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5" y="2895599"/>
          <a:ext cx="4760608" cy="400051"/>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200025</xdr:colOff>
      <xdr:row>5</xdr:row>
      <xdr:rowOff>142874</xdr:rowOff>
    </xdr:from>
    <xdr:to>
      <xdr:col>3</xdr:col>
      <xdr:colOff>5569744</xdr:colOff>
      <xdr:row>5</xdr:row>
      <xdr:rowOff>533399</xdr:rowOff>
    </xdr:to>
    <xdr:pic>
      <xdr:nvPicPr>
        <xdr:cNvPr id="18" name="Grafik 17">
          <a:extLst>
            <a:ext uri="{FF2B5EF4-FFF2-40B4-BE49-F238E27FC236}">
              <a16:creationId xmlns:a16="http://schemas.microsoft.com/office/drawing/2014/main" id="{1CE78583-936F-4E55-893F-2F23A21A325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076700" y="3524249"/>
          <a:ext cx="5369719" cy="390525"/>
        </a:xfrm>
        <a:prstGeom prst="rect">
          <a:avLst/>
        </a:prstGeom>
        <a:noFill/>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85726</xdr:colOff>
      <xdr:row>2</xdr:row>
      <xdr:rowOff>188528</xdr:rowOff>
    </xdr:from>
    <xdr:to>
      <xdr:col>2</xdr:col>
      <xdr:colOff>5286376</xdr:colOff>
      <xdr:row>2</xdr:row>
      <xdr:rowOff>790574</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6" y="1712528"/>
          <a:ext cx="5200650" cy="602046"/>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4</xdr:row>
      <xdr:rowOff>142875</xdr:rowOff>
    </xdr:from>
    <xdr:ext cx="3476336" cy="479298"/>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1C00-000003000000}"/>
                </a:ext>
              </a:extLst>
            </xdr:cNvPr>
            <xdr:cNvSpPr txBox="1"/>
          </xdr:nvSpPr>
          <xdr:spPr>
            <a:xfrm>
              <a:off x="2609850" y="2247900"/>
              <a:ext cx="3476336" cy="4792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𝑁𝐻</m:t>
                      </m:r>
                      <m:r>
                        <a:rPr lang="de-DE" sz="1600" b="0" i="1">
                          <a:latin typeface="Cambria Math"/>
                          <a:ea typeface="Cambria Math" pitchFamily="18" charset="0"/>
                        </a:rPr>
                        <m:t>4,</m:t>
                      </m:r>
                      <m:r>
                        <a:rPr lang="de-DE" sz="1600" b="0" i="1">
                          <a:latin typeface="Cambria Math"/>
                          <a:ea typeface="Cambria Math" pitchFamily="18" charset="0"/>
                        </a:rPr>
                        <m:t>𝑍𝐵</m:t>
                      </m:r>
                    </m:sub>
                  </m:sSub>
                  <m:r>
                    <a:rPr lang="de-DE" sz="1600" b="0" i="1">
                      <a:latin typeface="Cambria Math"/>
                      <a:ea typeface="Cambria Math"/>
                    </a:rPr>
                    <m:t>≈</m:t>
                  </m:r>
                  <m:r>
                    <a:rPr lang="de-DE" sz="1600" b="0" i="1">
                      <a:latin typeface="Cambria Math"/>
                      <a:ea typeface="Cambria Math" pitchFamily="18" charset="0"/>
                    </a:rPr>
                    <m:t>0,6…0,7 ∗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𝐵</m:t>
                          </m:r>
                        </m:e>
                        <m:sub>
                          <m:r>
                            <a:rPr lang="de-DE" sz="1600" b="0" i="1">
                              <a:latin typeface="Cambria Math"/>
                              <a:ea typeface="Cambria Math" pitchFamily="18" charset="0"/>
                            </a:rPr>
                            <m:t>𝑑</m:t>
                          </m:r>
                          <m:r>
                            <a:rPr lang="de-DE" sz="1600" b="0" i="1">
                              <a:latin typeface="Cambria Math"/>
                              <a:ea typeface="Cambria Math" pitchFamily="18" charset="0"/>
                            </a:rPr>
                            <m:t>,</m:t>
                          </m:r>
                          <m:r>
                            <a:rPr lang="de-DE" sz="1600" b="0" i="1">
                              <a:latin typeface="Cambria Math"/>
                              <a:ea typeface="Cambria Math" pitchFamily="18" charset="0"/>
                            </a:rPr>
                            <m:t>𝑇𝐾𝑁</m:t>
                          </m:r>
                          <m:r>
                            <a:rPr lang="de-DE" sz="1600" b="0" i="1">
                              <a:latin typeface="Cambria Math"/>
                              <a:ea typeface="Cambria Math" pitchFamily="18" charset="0"/>
                            </a:rPr>
                            <m:t>,</m:t>
                          </m:r>
                          <m:r>
                            <a:rPr lang="de-DE" sz="1600" b="0" i="1">
                              <a:latin typeface="Cambria Math"/>
                              <a:ea typeface="Cambria Math" pitchFamily="18" charset="0"/>
                            </a:rPr>
                            <m:t>𝑍𝐵</m:t>
                          </m:r>
                        </m:sub>
                      </m:sSub>
                      <m:r>
                        <a:rPr lang="de-DE" sz="1600" b="0" i="1">
                          <a:latin typeface="Cambria Math"/>
                          <a:ea typeface="Cambria Math" pitchFamily="18" charset="0"/>
                        </a:rPr>
                        <m:t> ∗1000</m:t>
                      </m:r>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 </m:t>
                          </m:r>
                          <m:r>
                            <a:rPr lang="de-DE" sz="1600" b="0" i="1">
                              <a:latin typeface="Cambria Math"/>
                              <a:ea typeface="Cambria Math" pitchFamily="18" charset="0"/>
                            </a:rPr>
                            <m:t>𝑄</m:t>
                          </m:r>
                        </m:e>
                        <m:sub>
                          <m:r>
                            <a:rPr lang="de-DE" sz="1600" b="0" i="1">
                              <a:latin typeface="Cambria Math"/>
                              <a:ea typeface="Cambria Math" pitchFamily="18" charset="0"/>
                            </a:rPr>
                            <m:t>𝑑</m:t>
                          </m:r>
                        </m:sub>
                      </m:sSub>
                    </m:den>
                  </m:f>
                  <m:r>
                    <a:rPr lang="de-DE" sz="1600" b="0" i="1">
                      <a:latin typeface="Cambria Math" pitchFamily="18" charset="0"/>
                      <a:ea typeface="Cambria Math" pitchFamily="18" charset="0"/>
                    </a:rPr>
                    <m:t> </m:t>
                  </m:r>
                </m:oMath>
              </a14:m>
              <a:r>
                <a:rPr lang="de-DE" sz="1600">
                  <a:latin typeface="Cambria Math" pitchFamily="18" charset="0"/>
                  <a:ea typeface="Cambria Math" pitchFamily="18" charset="0"/>
                </a:rPr>
                <a:t> </a:t>
              </a:r>
            </a:p>
          </xdr:txBody>
        </xdr:sp>
      </mc:Choice>
      <mc:Fallback xmlns="">
        <xdr:sp macro="" textlink="">
          <xdr:nvSpPr>
            <xdr:cNvPr id="3" name="Textfeld 2"/>
            <xdr:cNvSpPr txBox="1"/>
          </xdr:nvSpPr>
          <xdr:spPr>
            <a:xfrm>
              <a:off x="2609850" y="2247900"/>
              <a:ext cx="3476336" cy="4792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𝑆_(𝑁𝐻4,𝑍𝐵)</a:t>
              </a:r>
              <a:r>
                <a:rPr lang="de-DE" sz="1600" b="0" i="0">
                  <a:latin typeface="Cambria Math"/>
                  <a:ea typeface="Cambria Math"/>
                </a:rPr>
                <a:t>≈</a:t>
              </a:r>
              <a:r>
                <a:rPr lang="de-DE" sz="1600" b="0" i="0">
                  <a:latin typeface="Cambria Math"/>
                  <a:ea typeface="Cambria Math" pitchFamily="18" charset="0"/>
                </a:rPr>
                <a:t>0,6…0,7 ∗  (𝐵_(𝑑,𝑇𝐾𝑁,𝑍𝐵)  ∗1000)/〖 𝑄〗_𝑑 </a:t>
              </a:r>
              <a:r>
                <a:rPr lang="de-DE" sz="1600" b="0" i="0">
                  <a:latin typeface="Cambria Math" pitchFamily="18" charset="0"/>
                  <a:ea typeface="Cambria Math" pitchFamily="18" charset="0"/>
                </a:rPr>
                <a:t>  </a:t>
              </a:r>
              <a:r>
                <a:rPr lang="de-DE" sz="1600">
                  <a:latin typeface="Cambria Math" pitchFamily="18" charset="0"/>
                  <a:ea typeface="Cambria Math" pitchFamily="18" charset="0"/>
                </a:rPr>
                <a:t> </a:t>
              </a:r>
            </a:p>
          </xdr:txBody>
        </xdr:sp>
      </mc:Fallback>
    </mc:AlternateContent>
    <xdr:clientData/>
  </xdr:oneCellAnchor>
  <xdr:oneCellAnchor>
    <xdr:from>
      <xdr:col>2</xdr:col>
      <xdr:colOff>85725</xdr:colOff>
      <xdr:row>8</xdr:row>
      <xdr:rowOff>209550</xdr:rowOff>
    </xdr:from>
    <xdr:ext cx="1818768" cy="349326"/>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1C00-000004000000}"/>
                </a:ext>
              </a:extLst>
            </xdr:cNvPr>
            <xdr:cNvSpPr txBox="1"/>
          </xdr:nvSpPr>
          <xdr:spPr>
            <a:xfrm>
              <a:off x="2609850" y="4591050"/>
              <a:ext cx="181876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𝐹𝑒</m:t>
                      </m:r>
                      <m:r>
                        <a:rPr lang="de-DE" sz="1600" b="0" i="1">
                          <a:latin typeface="Cambria Math"/>
                          <a:ea typeface="Cambria Math" pitchFamily="18" charset="0"/>
                        </a:rPr>
                        <m:t>3</m:t>
                      </m:r>
                    </m:sub>
                  </m:sSub>
                  <m:r>
                    <a:rPr lang="de-DE" sz="1600" b="0" i="1">
                      <a:latin typeface="Cambria Math"/>
                      <a:ea typeface="Cambria Math"/>
                    </a:rPr>
                    <m:t>=</m:t>
                  </m:r>
                  <m:r>
                    <a:rPr lang="de-DE" sz="1600" b="0" i="1">
                      <a:latin typeface="Cambria Math"/>
                      <a:ea typeface="Cambria Math"/>
                    </a:rPr>
                    <m:t>𝛽</m:t>
                  </m:r>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𝐹</m:t>
                      </m:r>
                      <m:r>
                        <a:rPr lang="de-DE" sz="1600" b="0" i="1">
                          <a:latin typeface="Cambria Math"/>
                          <a:ea typeface="Cambria Math" pitchFamily="18" charset="0"/>
                        </a:rPr>
                        <m:t>ä</m:t>
                      </m:r>
                      <m:r>
                        <a:rPr lang="de-DE" sz="1600" b="0" i="1">
                          <a:latin typeface="Cambria Math"/>
                          <a:ea typeface="Cambria Math" pitchFamily="18" charset="0"/>
                        </a:rPr>
                        <m:t>𝑙𝑙</m:t>
                      </m:r>
                    </m:sub>
                  </m:sSub>
                  <m:r>
                    <a:rPr lang="de-DE" sz="1600" b="0" i="1">
                      <a:latin typeface="Cambria Math" pitchFamily="18" charset="0"/>
                      <a:ea typeface="Cambria Math" pitchFamily="18" charset="0"/>
                    </a:rPr>
                    <m:t> </m:t>
                  </m:r>
                </m:oMath>
              </a14:m>
              <a:r>
                <a:rPr lang="de-DE" sz="1600">
                  <a:latin typeface="Cambria Math" pitchFamily="18" charset="0"/>
                  <a:ea typeface="Cambria Math" pitchFamily="18" charset="0"/>
                </a:rPr>
                <a:t> </a:t>
              </a:r>
            </a:p>
          </xdr:txBody>
        </xdr:sp>
      </mc:Choice>
      <mc:Fallback xmlns="">
        <xdr:sp macro="" textlink="">
          <xdr:nvSpPr>
            <xdr:cNvPr id="4" name="Textfeld 3"/>
            <xdr:cNvSpPr txBox="1"/>
          </xdr:nvSpPr>
          <xdr:spPr>
            <a:xfrm>
              <a:off x="2609850" y="4591050"/>
              <a:ext cx="181876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𝑆_𝐹𝑒3</a:t>
              </a:r>
              <a:r>
                <a:rPr lang="de-DE" sz="1600" b="0" i="0">
                  <a:latin typeface="Cambria Math"/>
                  <a:ea typeface="Cambria Math"/>
                </a:rPr>
                <a:t>=𝛽</a:t>
              </a:r>
              <a:r>
                <a:rPr lang="de-DE" sz="1600" b="0" i="0">
                  <a:latin typeface="Cambria Math"/>
                  <a:ea typeface="Cambria Math" pitchFamily="18" charset="0"/>
                </a:rPr>
                <a:t>∗ 𝑋_(𝑃,𝐹ä𝑙𝑙)</a:t>
              </a:r>
              <a:r>
                <a:rPr lang="de-DE" sz="1600" b="0" i="0">
                  <a:latin typeface="Cambria Math" pitchFamily="18" charset="0"/>
                  <a:ea typeface="Cambria Math" pitchFamily="18" charset="0"/>
                </a:rPr>
                <a:t>  </a:t>
              </a:r>
              <a:r>
                <a:rPr lang="de-DE" sz="1600">
                  <a:latin typeface="Cambria Math" pitchFamily="18" charset="0"/>
                  <a:ea typeface="Cambria Math" pitchFamily="18" charset="0"/>
                </a:rPr>
                <a:t> </a:t>
              </a:r>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xdr:twoCellAnchor editAs="oneCell">
    <xdr:from>
      <xdr:col>2</xdr:col>
      <xdr:colOff>85726</xdr:colOff>
      <xdr:row>2</xdr:row>
      <xdr:rowOff>201760</xdr:rowOff>
    </xdr:from>
    <xdr:to>
      <xdr:col>2</xdr:col>
      <xdr:colOff>5172076</xdr:colOff>
      <xdr:row>2</xdr:row>
      <xdr:rowOff>790574</xdr:rowOff>
    </xdr:to>
    <xdr:pic>
      <xdr:nvPicPr>
        <xdr:cNvPr id="12290" name="Picture 1">
          <a:extLst>
            <a:ext uri="{FF2B5EF4-FFF2-40B4-BE49-F238E27FC236}">
              <a16:creationId xmlns:a16="http://schemas.microsoft.com/office/drawing/2014/main" id="{00000000-0008-0000-1D00-000002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6" y="1725760"/>
          <a:ext cx="5086350" cy="588814"/>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4</xdr:row>
      <xdr:rowOff>142875</xdr:rowOff>
    </xdr:from>
    <xdr:ext cx="3476336" cy="479298"/>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1D00-000004000000}"/>
                </a:ext>
              </a:extLst>
            </xdr:cNvPr>
            <xdr:cNvSpPr txBox="1"/>
          </xdr:nvSpPr>
          <xdr:spPr>
            <a:xfrm>
              <a:off x="2609850" y="2066925"/>
              <a:ext cx="3476336" cy="4792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𝑁𝐻</m:t>
                      </m:r>
                      <m:r>
                        <a:rPr lang="de-DE" sz="1600" b="0" i="1">
                          <a:latin typeface="Cambria Math"/>
                          <a:ea typeface="Cambria Math" pitchFamily="18" charset="0"/>
                        </a:rPr>
                        <m:t>4,</m:t>
                      </m:r>
                      <m:r>
                        <a:rPr lang="de-DE" sz="1600" b="0" i="1">
                          <a:latin typeface="Cambria Math"/>
                          <a:ea typeface="Cambria Math" pitchFamily="18" charset="0"/>
                        </a:rPr>
                        <m:t>𝑍𝐵</m:t>
                      </m:r>
                    </m:sub>
                  </m:sSub>
                  <m:r>
                    <a:rPr lang="de-DE" sz="1600" b="0" i="1">
                      <a:latin typeface="Cambria Math"/>
                      <a:ea typeface="Cambria Math"/>
                    </a:rPr>
                    <m:t>≈</m:t>
                  </m:r>
                  <m:r>
                    <a:rPr lang="de-DE" sz="1600" b="0" i="1">
                      <a:latin typeface="Cambria Math"/>
                      <a:ea typeface="Cambria Math" pitchFamily="18" charset="0"/>
                    </a:rPr>
                    <m:t>0,6…0,7 ∗ </m:t>
                  </m:r>
                  <m:f>
                    <m:fPr>
                      <m:ctrlPr>
                        <a:rPr lang="de-DE" sz="1600" b="0" i="1">
                          <a:latin typeface="Cambria Math" panose="02040503050406030204" pitchFamily="18" charset="0"/>
                          <a:ea typeface="Cambria Math" pitchFamily="18" charset="0"/>
                        </a:rPr>
                      </m:ctrlPr>
                    </m:fPr>
                    <m:num>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𝐵</m:t>
                          </m:r>
                        </m:e>
                        <m:sub>
                          <m:r>
                            <a:rPr lang="de-DE" sz="1600" b="0" i="1">
                              <a:latin typeface="Cambria Math"/>
                              <a:ea typeface="Cambria Math" pitchFamily="18" charset="0"/>
                            </a:rPr>
                            <m:t>𝑑</m:t>
                          </m:r>
                          <m:r>
                            <a:rPr lang="de-DE" sz="1600" b="0" i="1">
                              <a:latin typeface="Cambria Math"/>
                              <a:ea typeface="Cambria Math" pitchFamily="18" charset="0"/>
                            </a:rPr>
                            <m:t>,</m:t>
                          </m:r>
                          <m:r>
                            <a:rPr lang="de-DE" sz="1600" b="0" i="1">
                              <a:latin typeface="Cambria Math"/>
                              <a:ea typeface="Cambria Math" pitchFamily="18" charset="0"/>
                            </a:rPr>
                            <m:t>𝑇𝐾𝑁</m:t>
                          </m:r>
                          <m:r>
                            <a:rPr lang="de-DE" sz="1600" b="0" i="1">
                              <a:latin typeface="Cambria Math"/>
                              <a:ea typeface="Cambria Math" pitchFamily="18" charset="0"/>
                            </a:rPr>
                            <m:t>,</m:t>
                          </m:r>
                          <m:r>
                            <a:rPr lang="de-DE" sz="1600" b="0" i="1">
                              <a:latin typeface="Cambria Math"/>
                              <a:ea typeface="Cambria Math" pitchFamily="18" charset="0"/>
                            </a:rPr>
                            <m:t>𝑍𝐵</m:t>
                          </m:r>
                        </m:sub>
                      </m:sSub>
                      <m:r>
                        <a:rPr lang="de-DE" sz="1600" b="0" i="1">
                          <a:latin typeface="Cambria Math"/>
                          <a:ea typeface="Cambria Math" pitchFamily="18" charset="0"/>
                        </a:rPr>
                        <m:t> ∗1000</m:t>
                      </m:r>
                    </m:num>
                    <m:den>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 </m:t>
                          </m:r>
                          <m:r>
                            <a:rPr lang="de-DE" sz="1600" b="0" i="1">
                              <a:latin typeface="Cambria Math"/>
                              <a:ea typeface="Cambria Math" pitchFamily="18" charset="0"/>
                            </a:rPr>
                            <m:t>𝑄</m:t>
                          </m:r>
                        </m:e>
                        <m:sub>
                          <m:r>
                            <a:rPr lang="de-DE" sz="1600" b="0" i="1">
                              <a:latin typeface="Cambria Math"/>
                              <a:ea typeface="Cambria Math" pitchFamily="18" charset="0"/>
                            </a:rPr>
                            <m:t>𝑑</m:t>
                          </m:r>
                        </m:sub>
                      </m:sSub>
                    </m:den>
                  </m:f>
                  <m:r>
                    <a:rPr lang="de-DE" sz="1600" b="0" i="1">
                      <a:latin typeface="Cambria Math" pitchFamily="18" charset="0"/>
                      <a:ea typeface="Cambria Math" pitchFamily="18" charset="0"/>
                    </a:rPr>
                    <m:t> </m:t>
                  </m:r>
                </m:oMath>
              </a14:m>
              <a:r>
                <a:rPr lang="de-DE" sz="1600">
                  <a:latin typeface="Cambria Math" pitchFamily="18" charset="0"/>
                  <a:ea typeface="Cambria Math" pitchFamily="18" charset="0"/>
                </a:rPr>
                <a:t> </a:t>
              </a:r>
            </a:p>
          </xdr:txBody>
        </xdr:sp>
      </mc:Choice>
      <mc:Fallback xmlns="">
        <xdr:sp macro="" textlink="">
          <xdr:nvSpPr>
            <xdr:cNvPr id="4" name="Textfeld 3"/>
            <xdr:cNvSpPr txBox="1"/>
          </xdr:nvSpPr>
          <xdr:spPr>
            <a:xfrm>
              <a:off x="2609850" y="2066925"/>
              <a:ext cx="3476336" cy="479298"/>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𝑆_(𝑁𝐻4,𝑍𝐵)</a:t>
              </a:r>
              <a:r>
                <a:rPr lang="de-DE" sz="1600" b="0" i="0">
                  <a:latin typeface="Cambria Math"/>
                  <a:ea typeface="Cambria Math"/>
                </a:rPr>
                <a:t>≈</a:t>
              </a:r>
              <a:r>
                <a:rPr lang="de-DE" sz="1600" b="0" i="0">
                  <a:latin typeface="Cambria Math"/>
                  <a:ea typeface="Cambria Math" pitchFamily="18" charset="0"/>
                </a:rPr>
                <a:t>0,6…0,7 ∗  (𝐵_(𝑑,𝑇𝐾𝑁,𝑍𝐵)  ∗1000)/〖 𝑄〗_𝑑 </a:t>
              </a:r>
              <a:r>
                <a:rPr lang="de-DE" sz="1600" b="0" i="0">
                  <a:latin typeface="Cambria Math" pitchFamily="18" charset="0"/>
                  <a:ea typeface="Cambria Math" pitchFamily="18" charset="0"/>
                </a:rPr>
                <a:t>  </a:t>
              </a:r>
              <a:r>
                <a:rPr lang="de-DE" sz="1600">
                  <a:latin typeface="Cambria Math" pitchFamily="18" charset="0"/>
                  <a:ea typeface="Cambria Math" pitchFamily="18" charset="0"/>
                </a:rPr>
                <a:t> </a:t>
              </a:r>
            </a:p>
          </xdr:txBody>
        </xdr:sp>
      </mc:Fallback>
    </mc:AlternateContent>
    <xdr:clientData/>
  </xdr:oneCellAnchor>
  <xdr:oneCellAnchor>
    <xdr:from>
      <xdr:col>2</xdr:col>
      <xdr:colOff>85725</xdr:colOff>
      <xdr:row>8</xdr:row>
      <xdr:rowOff>209550</xdr:rowOff>
    </xdr:from>
    <xdr:ext cx="1818768" cy="349326"/>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1D00-000005000000}"/>
                </a:ext>
              </a:extLst>
            </xdr:cNvPr>
            <xdr:cNvSpPr txBox="1"/>
          </xdr:nvSpPr>
          <xdr:spPr>
            <a:xfrm>
              <a:off x="2609850" y="4591050"/>
              <a:ext cx="181876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14:m>
                <m:oMath xmlns:m="http://schemas.openxmlformats.org/officeDocument/2006/math">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𝑆</m:t>
                      </m:r>
                    </m:e>
                    <m:sub>
                      <m:r>
                        <a:rPr lang="de-DE" sz="1600" b="0" i="1">
                          <a:latin typeface="Cambria Math"/>
                          <a:ea typeface="Cambria Math" pitchFamily="18" charset="0"/>
                        </a:rPr>
                        <m:t>𝐹𝑒</m:t>
                      </m:r>
                      <m:r>
                        <a:rPr lang="de-DE" sz="1600" b="0" i="1">
                          <a:latin typeface="Cambria Math"/>
                          <a:ea typeface="Cambria Math" pitchFamily="18" charset="0"/>
                        </a:rPr>
                        <m:t>3</m:t>
                      </m:r>
                    </m:sub>
                  </m:sSub>
                  <m:r>
                    <a:rPr lang="de-DE" sz="1600" b="0" i="1">
                      <a:latin typeface="Cambria Math"/>
                      <a:ea typeface="Cambria Math"/>
                    </a:rPr>
                    <m:t>=</m:t>
                  </m:r>
                  <m:r>
                    <a:rPr lang="de-DE" sz="1600" b="0" i="1">
                      <a:latin typeface="Cambria Math"/>
                      <a:ea typeface="Cambria Math"/>
                    </a:rPr>
                    <m:t>𝛽</m:t>
                  </m:r>
                  <m:r>
                    <a:rPr lang="de-DE" sz="1600" b="0" i="1">
                      <a:latin typeface="Cambria Math"/>
                      <a:ea typeface="Cambria Math" pitchFamily="18" charset="0"/>
                    </a:rPr>
                    <m:t>∗ </m:t>
                  </m:r>
                  <m:sSub>
                    <m:sSubPr>
                      <m:ctrlPr>
                        <a:rPr lang="de-DE" sz="1600" b="0" i="1">
                          <a:latin typeface="Cambria Math" panose="02040503050406030204" pitchFamily="18" charset="0"/>
                          <a:ea typeface="Cambria Math" pitchFamily="18" charset="0"/>
                        </a:rPr>
                      </m:ctrlPr>
                    </m:sSubPr>
                    <m:e>
                      <m:r>
                        <a:rPr lang="de-DE" sz="1600" b="0" i="1">
                          <a:latin typeface="Cambria Math"/>
                          <a:ea typeface="Cambria Math" pitchFamily="18" charset="0"/>
                        </a:rPr>
                        <m:t>𝑋</m:t>
                      </m:r>
                    </m:e>
                    <m:sub>
                      <m:r>
                        <a:rPr lang="de-DE" sz="1600" b="0" i="1">
                          <a:latin typeface="Cambria Math"/>
                          <a:ea typeface="Cambria Math" pitchFamily="18" charset="0"/>
                        </a:rPr>
                        <m:t>𝑃</m:t>
                      </m:r>
                      <m:r>
                        <a:rPr lang="de-DE" sz="1600" b="0" i="1">
                          <a:latin typeface="Cambria Math"/>
                          <a:ea typeface="Cambria Math" pitchFamily="18" charset="0"/>
                        </a:rPr>
                        <m:t>,</m:t>
                      </m:r>
                      <m:r>
                        <a:rPr lang="de-DE" sz="1600" b="0" i="1">
                          <a:latin typeface="Cambria Math"/>
                          <a:ea typeface="Cambria Math" pitchFamily="18" charset="0"/>
                        </a:rPr>
                        <m:t>𝐹</m:t>
                      </m:r>
                      <m:r>
                        <a:rPr lang="de-DE" sz="1600" b="0" i="1">
                          <a:latin typeface="Cambria Math"/>
                          <a:ea typeface="Cambria Math" pitchFamily="18" charset="0"/>
                        </a:rPr>
                        <m:t>ä</m:t>
                      </m:r>
                      <m:r>
                        <a:rPr lang="de-DE" sz="1600" b="0" i="1">
                          <a:latin typeface="Cambria Math"/>
                          <a:ea typeface="Cambria Math" pitchFamily="18" charset="0"/>
                        </a:rPr>
                        <m:t>𝑙𝑙</m:t>
                      </m:r>
                    </m:sub>
                  </m:sSub>
                  <m:r>
                    <a:rPr lang="de-DE" sz="1600" b="0" i="1">
                      <a:latin typeface="Cambria Math" pitchFamily="18" charset="0"/>
                      <a:ea typeface="Cambria Math" pitchFamily="18" charset="0"/>
                    </a:rPr>
                    <m:t> </m:t>
                  </m:r>
                </m:oMath>
              </a14:m>
              <a:r>
                <a:rPr lang="de-DE" sz="1600">
                  <a:latin typeface="Cambria Math" pitchFamily="18" charset="0"/>
                  <a:ea typeface="Cambria Math" pitchFamily="18" charset="0"/>
                </a:rPr>
                <a:t> </a:t>
              </a:r>
            </a:p>
          </xdr:txBody>
        </xdr:sp>
      </mc:Choice>
      <mc:Fallback xmlns="">
        <xdr:sp macro="" textlink="">
          <xdr:nvSpPr>
            <xdr:cNvPr id="5" name="Textfeld 4"/>
            <xdr:cNvSpPr txBox="1"/>
          </xdr:nvSpPr>
          <xdr:spPr>
            <a:xfrm>
              <a:off x="2609850" y="4591050"/>
              <a:ext cx="1818768" cy="349326"/>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600" b="0" i="0">
                  <a:latin typeface="Cambria Math"/>
                  <a:ea typeface="Cambria Math" pitchFamily="18" charset="0"/>
                </a:rPr>
                <a:t>𝑆_𝐹𝑒3</a:t>
              </a:r>
              <a:r>
                <a:rPr lang="de-DE" sz="1600" b="0" i="0">
                  <a:latin typeface="Cambria Math"/>
                  <a:ea typeface="Cambria Math"/>
                </a:rPr>
                <a:t>=𝛽</a:t>
              </a:r>
              <a:r>
                <a:rPr lang="de-DE" sz="1600" b="0" i="0">
                  <a:latin typeface="Cambria Math"/>
                  <a:ea typeface="Cambria Math" pitchFamily="18" charset="0"/>
                </a:rPr>
                <a:t>∗ 𝑋_(𝑃,𝐹ä𝑙𝑙)</a:t>
              </a:r>
              <a:r>
                <a:rPr lang="de-DE" sz="1600" b="0" i="0">
                  <a:latin typeface="Cambria Math" pitchFamily="18" charset="0"/>
                  <a:ea typeface="Cambria Math" pitchFamily="18" charset="0"/>
                </a:rPr>
                <a:t>  </a:t>
              </a:r>
              <a:r>
                <a:rPr lang="de-DE" sz="1600">
                  <a:latin typeface="Cambria Math" pitchFamily="18" charset="0"/>
                  <a:ea typeface="Cambria Math" pitchFamily="18" charset="0"/>
                </a:rPr>
                <a:t> </a:t>
              </a: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3</xdr:row>
      <xdr:rowOff>133350</xdr:rowOff>
    </xdr:from>
    <xdr:to>
      <xdr:col>1</xdr:col>
      <xdr:colOff>3952875</xdr:colOff>
      <xdr:row>3</xdr:row>
      <xdr:rowOff>704850</xdr:rowOff>
    </xdr:to>
    <xdr:pic>
      <xdr:nvPicPr>
        <xdr:cNvPr id="2" name="Grafik 1">
          <a:extLst>
            <a:ext uri="{FF2B5EF4-FFF2-40B4-BE49-F238E27FC236}">
              <a16:creationId xmlns:a16="http://schemas.microsoft.com/office/drawing/2014/main" id="{12C548AA-BBBF-449C-A0E6-C80636448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5800" y="6229350"/>
          <a:ext cx="3800475" cy="5715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0</xdr:row>
      <xdr:rowOff>123877</xdr:rowOff>
    </xdr:from>
    <xdr:to>
      <xdr:col>1</xdr:col>
      <xdr:colOff>7664775</xdr:colOff>
      <xdr:row>0</xdr:row>
      <xdr:rowOff>4281562</xdr:rowOff>
    </xdr:to>
    <xdr:pic>
      <xdr:nvPicPr>
        <xdr:cNvPr id="4" name="Grafik 3">
          <a:extLst>
            <a:ext uri="{FF2B5EF4-FFF2-40B4-BE49-F238E27FC236}">
              <a16:creationId xmlns:a16="http://schemas.microsoft.com/office/drawing/2014/main" id="{3725F069-33D0-4D5B-93C3-12CE2BC5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23877"/>
          <a:ext cx="7560000" cy="4157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3</xdr:row>
      <xdr:rowOff>923925</xdr:rowOff>
    </xdr:from>
    <xdr:to>
      <xdr:col>1</xdr:col>
      <xdr:colOff>7381875</xdr:colOff>
      <xdr:row>3</xdr:row>
      <xdr:rowOff>1514475</xdr:rowOff>
    </xdr:to>
    <xdr:pic>
      <xdr:nvPicPr>
        <xdr:cNvPr id="5" name="Grafik 4">
          <a:extLst>
            <a:ext uri="{FF2B5EF4-FFF2-40B4-BE49-F238E27FC236}">
              <a16:creationId xmlns:a16="http://schemas.microsoft.com/office/drawing/2014/main" id="{3B71C120-5903-4303-9699-DB79532B85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5800" y="7019925"/>
          <a:ext cx="7229475" cy="5905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9</xdr:row>
      <xdr:rowOff>114300</xdr:rowOff>
    </xdr:from>
    <xdr:to>
      <xdr:col>1</xdr:col>
      <xdr:colOff>6200775</xdr:colOff>
      <xdr:row>9</xdr:row>
      <xdr:rowOff>714375</xdr:rowOff>
    </xdr:to>
    <xdr:pic>
      <xdr:nvPicPr>
        <xdr:cNvPr id="6" name="Grafik 5">
          <a:extLst>
            <a:ext uri="{FF2B5EF4-FFF2-40B4-BE49-F238E27FC236}">
              <a16:creationId xmlns:a16="http://schemas.microsoft.com/office/drawing/2014/main" id="{7068A8BB-450E-45E0-A4A6-CA76547317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55800" y="11988800"/>
          <a:ext cx="6048375" cy="6000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10</xdr:row>
      <xdr:rowOff>123825</xdr:rowOff>
    </xdr:from>
    <xdr:to>
      <xdr:col>1</xdr:col>
      <xdr:colOff>6391275</xdr:colOff>
      <xdr:row>10</xdr:row>
      <xdr:rowOff>723900</xdr:rowOff>
    </xdr:to>
    <xdr:pic>
      <xdr:nvPicPr>
        <xdr:cNvPr id="7" name="Grafik 6">
          <a:extLst>
            <a:ext uri="{FF2B5EF4-FFF2-40B4-BE49-F238E27FC236}">
              <a16:creationId xmlns:a16="http://schemas.microsoft.com/office/drawing/2014/main" id="{DEBDB551-685E-485F-8F20-830829766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5800" y="12823825"/>
          <a:ext cx="6238875" cy="6000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155575</xdr:colOff>
      <xdr:row>0</xdr:row>
      <xdr:rowOff>0</xdr:rowOff>
    </xdr:from>
    <xdr:to>
      <xdr:col>9</xdr:col>
      <xdr:colOff>7057</xdr:colOff>
      <xdr:row>0</xdr:row>
      <xdr:rowOff>4346575</xdr:rowOff>
    </xdr:to>
    <xdr:pic>
      <xdr:nvPicPr>
        <xdr:cNvPr id="8" name="Grafik 7">
          <a:extLst>
            <a:ext uri="{FF2B5EF4-FFF2-40B4-BE49-F238E27FC236}">
              <a16:creationId xmlns:a16="http://schemas.microsoft.com/office/drawing/2014/main" id="{AEB9A520-C542-4A09-B245-BF6EBA450E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1975" y="0"/>
          <a:ext cx="8982782" cy="434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11</xdr:row>
      <xdr:rowOff>146050</xdr:rowOff>
    </xdr:from>
    <xdr:to>
      <xdr:col>1</xdr:col>
      <xdr:colOff>6010275</xdr:colOff>
      <xdr:row>11</xdr:row>
      <xdr:rowOff>698500</xdr:rowOff>
    </xdr:to>
    <xdr:pic>
      <xdr:nvPicPr>
        <xdr:cNvPr id="9" name="Grafik 8">
          <a:extLst>
            <a:ext uri="{FF2B5EF4-FFF2-40B4-BE49-F238E27FC236}">
              <a16:creationId xmlns:a16="http://schemas.microsoft.com/office/drawing/2014/main" id="{3DCB83AE-CB2D-466C-ABA0-5E3F33092B3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95500" y="13671550"/>
          <a:ext cx="5857875" cy="5524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5</xdr:row>
      <xdr:rowOff>133350</xdr:rowOff>
    </xdr:from>
    <xdr:to>
      <xdr:col>1</xdr:col>
      <xdr:colOff>3724275</xdr:colOff>
      <xdr:row>5</xdr:row>
      <xdr:rowOff>695325</xdr:rowOff>
    </xdr:to>
    <xdr:pic>
      <xdr:nvPicPr>
        <xdr:cNvPr id="11" name="Grafik 10">
          <a:extLst>
            <a:ext uri="{FF2B5EF4-FFF2-40B4-BE49-F238E27FC236}">
              <a16:creationId xmlns:a16="http://schemas.microsoft.com/office/drawing/2014/main" id="{5E21D7A3-333F-40C2-850D-DA303FEAF9F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55800" y="8705850"/>
          <a:ext cx="3571875" cy="5619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4</xdr:row>
      <xdr:rowOff>228600</xdr:rowOff>
    </xdr:from>
    <xdr:to>
      <xdr:col>1</xdr:col>
      <xdr:colOff>828675</xdr:colOff>
      <xdr:row>4</xdr:row>
      <xdr:rowOff>628650</xdr:rowOff>
    </xdr:to>
    <xdr:pic>
      <xdr:nvPicPr>
        <xdr:cNvPr id="14" name="Grafik 13">
          <a:extLst>
            <a:ext uri="{FF2B5EF4-FFF2-40B4-BE49-F238E27FC236}">
              <a16:creationId xmlns:a16="http://schemas.microsoft.com/office/drawing/2014/main" id="{09C86066-996D-4F93-A3D1-4C7E07F8666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55800" y="7975600"/>
          <a:ext cx="676275" cy="40005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6638925</xdr:colOff>
      <xdr:row>9</xdr:row>
      <xdr:rowOff>285750</xdr:rowOff>
    </xdr:from>
    <xdr:to>
      <xdr:col>1</xdr:col>
      <xdr:colOff>7807325</xdr:colOff>
      <xdr:row>9</xdr:row>
      <xdr:rowOff>676275</xdr:rowOff>
    </xdr:to>
    <xdr:pic>
      <xdr:nvPicPr>
        <xdr:cNvPr id="15" name="Grafik 14">
          <a:extLst>
            <a:ext uri="{FF2B5EF4-FFF2-40B4-BE49-F238E27FC236}">
              <a16:creationId xmlns:a16="http://schemas.microsoft.com/office/drawing/2014/main" id="{6E753B36-C84F-4A24-8268-65EDC7A91A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42325" y="12160250"/>
          <a:ext cx="11684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6829425</xdr:colOff>
      <xdr:row>10</xdr:row>
      <xdr:rowOff>247650</xdr:rowOff>
    </xdr:from>
    <xdr:to>
      <xdr:col>1</xdr:col>
      <xdr:colOff>7807325</xdr:colOff>
      <xdr:row>10</xdr:row>
      <xdr:rowOff>638175</xdr:rowOff>
    </xdr:to>
    <xdr:pic>
      <xdr:nvPicPr>
        <xdr:cNvPr id="16" name="Grafik 15">
          <a:extLst>
            <a:ext uri="{FF2B5EF4-FFF2-40B4-BE49-F238E27FC236}">
              <a16:creationId xmlns:a16="http://schemas.microsoft.com/office/drawing/2014/main" id="{4360605C-D314-4C8D-B303-6138B2921E3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32825" y="12947650"/>
          <a:ext cx="9779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5797550</xdr:colOff>
      <xdr:row>7</xdr:row>
      <xdr:rowOff>187325</xdr:rowOff>
    </xdr:from>
    <xdr:to>
      <xdr:col>1</xdr:col>
      <xdr:colOff>7927975</xdr:colOff>
      <xdr:row>7</xdr:row>
      <xdr:rowOff>615950</xdr:rowOff>
    </xdr:to>
    <xdr:pic>
      <xdr:nvPicPr>
        <xdr:cNvPr id="18" name="Grafik 17">
          <a:extLst>
            <a:ext uri="{FF2B5EF4-FFF2-40B4-BE49-F238E27FC236}">
              <a16:creationId xmlns:a16="http://schemas.microsoft.com/office/drawing/2014/main" id="{8538944F-F074-47DD-803D-1FEF7DA0079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00950" y="10410825"/>
          <a:ext cx="21304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8</xdr:row>
      <xdr:rowOff>215900</xdr:rowOff>
    </xdr:from>
    <xdr:to>
      <xdr:col>1</xdr:col>
      <xdr:colOff>4076700</xdr:colOff>
      <xdr:row>8</xdr:row>
      <xdr:rowOff>606425</xdr:rowOff>
    </xdr:to>
    <mc:AlternateContent xmlns:mc="http://schemas.openxmlformats.org/markup-compatibility/2006" xmlns:a14="http://schemas.microsoft.com/office/drawing/2010/main">
      <mc:Choice Requires="a14">
        <xdr:sp macro="" textlink="">
          <xdr:nvSpPr>
            <xdr:cNvPr id="19" name="Textfeld 18">
              <a:extLst>
                <a:ext uri="{FF2B5EF4-FFF2-40B4-BE49-F238E27FC236}">
                  <a16:creationId xmlns:a16="http://schemas.microsoft.com/office/drawing/2014/main" id="{FCB743B8-1044-41A1-B391-44BC8D2BE4CE}"/>
                </a:ext>
              </a:extLst>
            </xdr:cNvPr>
            <xdr:cNvSpPr txBox="1"/>
          </xdr:nvSpPr>
          <xdr:spPr>
            <a:xfrm>
              <a:off x="1955800" y="11264900"/>
              <a:ext cx="3924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14:m>
                <m:oMathPara xmlns:m="http://schemas.openxmlformats.org/officeDocument/2006/math">
                  <m:oMathParaPr>
                    <m:jc m:val="left"/>
                  </m:oMathParaPr>
                  <m:oMath xmlns:m="http://schemas.openxmlformats.org/officeDocument/2006/math">
                    <m:sSub>
                      <m:sSubPr>
                        <m:ctrlPr>
                          <a:rPr lang="de-DE" sz="2000" i="1">
                            <a:solidFill>
                              <a:schemeClr val="dk1"/>
                            </a:solidFill>
                            <a:latin typeface="Cambria Math" panose="02040503050406030204" pitchFamily="18" charset="0"/>
                            <a:ea typeface="+mn-ea"/>
                            <a:cs typeface="+mn-cs"/>
                          </a:rPr>
                        </m:ctrlPr>
                      </m:sSubPr>
                      <m:e>
                        <m:r>
                          <a:rPr lang="de-DE" sz="2000" i="1">
                            <a:solidFill>
                              <a:schemeClr val="dk1"/>
                            </a:solidFill>
                            <a:latin typeface="Cambria Math" panose="02040503050406030204" pitchFamily="18" charset="0"/>
                            <a:ea typeface="+mn-ea"/>
                            <a:cs typeface="+mn-cs"/>
                          </a:rPr>
                          <m:t>𝑆</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i="1">
                            <a:solidFill>
                              <a:schemeClr val="dk1"/>
                            </a:solidFill>
                            <a:latin typeface="Cambria Math" panose="02040503050406030204" pitchFamily="18" charset="0"/>
                            <a:ea typeface="+mn-ea"/>
                            <a:cs typeface="+mn-cs"/>
                          </a:rPr>
                          <m:t>𝐶</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i="1">
                            <a:solidFill>
                              <a:schemeClr val="dk1"/>
                            </a:solidFill>
                            <a:latin typeface="Cambria Math" panose="02040503050406030204" pitchFamily="18" charset="0"/>
                            <a:ea typeface="+mn-ea"/>
                            <a:cs typeface="+mn-cs"/>
                          </a:rPr>
                          <m:t>𝑋</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𝑍𝐵</m:t>
                        </m:r>
                      </m:sub>
                    </m:sSub>
                  </m:oMath>
                </m:oMathPara>
              </a14:m>
              <a:endParaRPr lang="de-DE" sz="2000" i="1">
                <a:solidFill>
                  <a:schemeClr val="dk1"/>
                </a:solidFill>
                <a:latin typeface="Cambria Math" panose="02040503050406030204" pitchFamily="18" charset="0"/>
                <a:ea typeface="+mn-ea"/>
                <a:cs typeface="+mn-cs"/>
              </a:endParaRPr>
            </a:p>
          </xdr:txBody>
        </xdr:sp>
      </mc:Choice>
      <mc:Fallback xmlns="">
        <xdr:sp macro="" textlink="">
          <xdr:nvSpPr>
            <xdr:cNvPr id="19" name="Textfeld 18">
              <a:extLst>
                <a:ext uri="{FF2B5EF4-FFF2-40B4-BE49-F238E27FC236}">
                  <a16:creationId xmlns:a16="http://schemas.microsoft.com/office/drawing/2014/main" id="{FCB743B8-1044-41A1-B391-44BC8D2BE4CE}"/>
                </a:ext>
              </a:extLst>
            </xdr:cNvPr>
            <xdr:cNvSpPr txBox="1"/>
          </xdr:nvSpPr>
          <xdr:spPr>
            <a:xfrm>
              <a:off x="1955800" y="11264900"/>
              <a:ext cx="3924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de-DE" sz="2000" i="0">
                  <a:solidFill>
                    <a:schemeClr val="dk1"/>
                  </a:solidFill>
                  <a:latin typeface="Cambria Math" panose="02040503050406030204" pitchFamily="18" charset="0"/>
                  <a:ea typeface="+mn-ea"/>
                  <a:cs typeface="+mn-cs"/>
                </a:rPr>
                <a:t>𝑆_(𝐶𝑆𝐵,𝑍𝐵)= 𝐶_(𝐶𝑆𝐵,𝑍𝐵)− 𝑋_(𝐶𝑆𝐵,</a:t>
              </a:r>
              <a:r>
                <a:rPr lang="de-DE" sz="2000" b="0" i="0">
                  <a:solidFill>
                    <a:schemeClr val="dk1"/>
                  </a:solidFill>
                  <a:latin typeface="Cambria Math" panose="02040503050406030204" pitchFamily="18" charset="0"/>
                  <a:ea typeface="+mn-ea"/>
                  <a:cs typeface="+mn-cs"/>
                </a:rPr>
                <a:t>𝑍𝐵)</a:t>
              </a:r>
              <a:endParaRPr lang="de-DE" sz="2000" i="1">
                <a:solidFill>
                  <a:schemeClr val="dk1"/>
                </a:solidFill>
                <a:latin typeface="Cambria Math" panose="02040503050406030204" pitchFamily="18" charset="0"/>
                <a:ea typeface="+mn-ea"/>
                <a:cs typeface="+mn-cs"/>
              </a:endParaRPr>
            </a:p>
          </xdr:txBody>
        </xdr:sp>
      </mc:Fallback>
    </mc:AlternateContent>
    <xdr:clientData/>
  </xdr:twoCellAnchor>
  <xdr:twoCellAnchor editAs="oneCell">
    <xdr:from>
      <xdr:col>1</xdr:col>
      <xdr:colOff>6829425</xdr:colOff>
      <xdr:row>5</xdr:row>
      <xdr:rowOff>200025</xdr:rowOff>
    </xdr:from>
    <xdr:to>
      <xdr:col>1</xdr:col>
      <xdr:colOff>7807325</xdr:colOff>
      <xdr:row>5</xdr:row>
      <xdr:rowOff>590550</xdr:rowOff>
    </xdr:to>
    <xdr:pic>
      <xdr:nvPicPr>
        <xdr:cNvPr id="20" name="Grafik 19">
          <a:extLst>
            <a:ext uri="{FF2B5EF4-FFF2-40B4-BE49-F238E27FC236}">
              <a16:creationId xmlns:a16="http://schemas.microsoft.com/office/drawing/2014/main" id="{A80715FC-1B51-4891-B596-F6E721823C2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632825" y="8772525"/>
          <a:ext cx="9779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6</xdr:row>
      <xdr:rowOff>171450</xdr:rowOff>
    </xdr:from>
    <xdr:to>
      <xdr:col>1</xdr:col>
      <xdr:colOff>4076700</xdr:colOff>
      <xdr:row>6</xdr:row>
      <xdr:rowOff>561975</xdr:rowOff>
    </xdr:to>
    <mc:AlternateContent xmlns:mc="http://schemas.openxmlformats.org/markup-compatibility/2006" xmlns:a14="http://schemas.microsoft.com/office/drawing/2010/main">
      <mc:Choice Requires="a14">
        <xdr:sp macro="" textlink="">
          <xdr:nvSpPr>
            <xdr:cNvPr id="21" name="Textfeld 20">
              <a:extLst>
                <a:ext uri="{FF2B5EF4-FFF2-40B4-BE49-F238E27FC236}">
                  <a16:creationId xmlns:a16="http://schemas.microsoft.com/office/drawing/2014/main" id="{E1150919-C9C2-4BFB-8CB3-ECC4BA5AE80E}"/>
                </a:ext>
              </a:extLst>
            </xdr:cNvPr>
            <xdr:cNvSpPr txBox="1"/>
          </xdr:nvSpPr>
          <xdr:spPr>
            <a:xfrm>
              <a:off x="1955800" y="9569450"/>
              <a:ext cx="3924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left"/>
                  </m:oMathParaPr>
                  <m:oMath xmlns:m="http://schemas.openxmlformats.org/officeDocument/2006/math">
                    <m:sSub>
                      <m:sSubPr>
                        <m:ctrlPr>
                          <a:rPr lang="de-DE" sz="2000" i="1">
                            <a:latin typeface="Cambria Math" panose="02040503050406030204" pitchFamily="18" charset="0"/>
                          </a:rPr>
                        </m:ctrlPr>
                      </m:sSubPr>
                      <m:e>
                        <m:r>
                          <a:rPr lang="de-DE" sz="2000" b="0" i="1">
                            <a:latin typeface="Cambria Math" panose="02040503050406030204" pitchFamily="18" charset="0"/>
                          </a:rPr>
                          <m:t>𝑋</m:t>
                        </m:r>
                      </m:e>
                      <m:sub>
                        <m:r>
                          <a:rPr lang="de-DE" sz="2000" b="0" i="1">
                            <a:latin typeface="Cambria Math" panose="02040503050406030204" pitchFamily="18" charset="0"/>
                          </a:rPr>
                          <m:t>𝑜𝑟𝑔𝑇𝑆</m:t>
                        </m:r>
                        <m:r>
                          <a:rPr lang="de-DE" sz="2000" b="0" i="1">
                            <a:latin typeface="Cambria Math" panose="02040503050406030204" pitchFamily="18" charset="0"/>
                          </a:rPr>
                          <m:t>,</m:t>
                        </m:r>
                        <m:r>
                          <a:rPr lang="de-DE" sz="2000" b="0" i="1">
                            <a:latin typeface="Cambria Math" panose="02040503050406030204" pitchFamily="18" charset="0"/>
                          </a:rPr>
                          <m:t>𝑍𝐵</m:t>
                        </m:r>
                      </m:sub>
                    </m:sSub>
                    <m:r>
                      <a:rPr lang="de-DE" sz="2000" b="0" i="1">
                        <a:latin typeface="Cambria Math" panose="02040503050406030204" pitchFamily="18" charset="0"/>
                      </a:rPr>
                      <m:t>= </m:t>
                    </m:r>
                    <m:sSub>
                      <m:sSubPr>
                        <m:ctrlPr>
                          <a:rPr lang="de-DE" sz="2000" b="0" i="1">
                            <a:latin typeface="Cambria Math" panose="02040503050406030204" pitchFamily="18" charset="0"/>
                          </a:rPr>
                        </m:ctrlPr>
                      </m:sSubPr>
                      <m:e>
                        <m:r>
                          <a:rPr lang="de-DE" sz="2000" b="0" i="1">
                            <a:latin typeface="Cambria Math" panose="02040503050406030204" pitchFamily="18" charset="0"/>
                          </a:rPr>
                          <m:t>𝑋</m:t>
                        </m:r>
                      </m:e>
                      <m:sub>
                        <m:r>
                          <a:rPr lang="de-DE" sz="2000" b="0" i="1">
                            <a:latin typeface="Cambria Math" panose="02040503050406030204" pitchFamily="18" charset="0"/>
                          </a:rPr>
                          <m:t>𝑇𝑆</m:t>
                        </m:r>
                        <m:r>
                          <a:rPr lang="de-DE" sz="2000" b="0" i="1">
                            <a:latin typeface="Cambria Math" panose="02040503050406030204" pitchFamily="18" charset="0"/>
                          </a:rPr>
                          <m:t>,</m:t>
                        </m:r>
                        <m:r>
                          <a:rPr lang="de-DE" sz="2000" b="0" i="1">
                            <a:latin typeface="Cambria Math" panose="02040503050406030204" pitchFamily="18" charset="0"/>
                          </a:rPr>
                          <m:t>𝑍𝐵</m:t>
                        </m:r>
                      </m:sub>
                    </m:sSub>
                    <m:r>
                      <a:rPr lang="de-DE" sz="2000" b="0" i="1">
                        <a:latin typeface="Cambria Math" panose="02040503050406030204" pitchFamily="18" charset="0"/>
                      </a:rPr>
                      <m:t>− </m:t>
                    </m:r>
                    <m:sSub>
                      <m:sSubPr>
                        <m:ctrlPr>
                          <a:rPr lang="de-DE" sz="2000" b="0" i="1">
                            <a:latin typeface="Cambria Math" panose="02040503050406030204" pitchFamily="18" charset="0"/>
                          </a:rPr>
                        </m:ctrlPr>
                      </m:sSubPr>
                      <m:e>
                        <m:r>
                          <a:rPr lang="de-DE" sz="2000" b="0" i="1">
                            <a:latin typeface="Cambria Math" panose="02040503050406030204" pitchFamily="18" charset="0"/>
                          </a:rPr>
                          <m:t>𝑋</m:t>
                        </m:r>
                      </m:e>
                      <m:sub>
                        <m:r>
                          <a:rPr lang="de-DE" sz="2000" b="0" i="1">
                            <a:latin typeface="Cambria Math" panose="02040503050406030204" pitchFamily="18" charset="0"/>
                          </a:rPr>
                          <m:t>𝑎𝑛𝑜𝑟𝑔𝑇𝑆</m:t>
                        </m:r>
                        <m:r>
                          <a:rPr lang="de-DE" sz="2000" b="0" i="1">
                            <a:latin typeface="Cambria Math" panose="02040503050406030204" pitchFamily="18" charset="0"/>
                          </a:rPr>
                          <m:t>,</m:t>
                        </m:r>
                        <m:r>
                          <a:rPr lang="de-DE" sz="2000" b="0" i="1">
                            <a:latin typeface="Cambria Math" panose="02040503050406030204" pitchFamily="18" charset="0"/>
                          </a:rPr>
                          <m:t>𝑍𝐵</m:t>
                        </m:r>
                      </m:sub>
                    </m:sSub>
                  </m:oMath>
                </m:oMathPara>
              </a14:m>
              <a:endParaRPr lang="de-DE" sz="1100"/>
            </a:p>
          </xdr:txBody>
        </xdr:sp>
      </mc:Choice>
      <mc:Fallback xmlns="">
        <xdr:sp macro="" textlink="">
          <xdr:nvSpPr>
            <xdr:cNvPr id="21" name="Textfeld 20">
              <a:extLst>
                <a:ext uri="{FF2B5EF4-FFF2-40B4-BE49-F238E27FC236}">
                  <a16:creationId xmlns:a16="http://schemas.microsoft.com/office/drawing/2014/main" id="{E1150919-C9C2-4BFB-8CB3-ECC4BA5AE80E}"/>
                </a:ext>
              </a:extLst>
            </xdr:cNvPr>
            <xdr:cNvSpPr txBox="1"/>
          </xdr:nvSpPr>
          <xdr:spPr>
            <a:xfrm>
              <a:off x="1955800" y="9569450"/>
              <a:ext cx="3924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de-DE" sz="2000" b="0" i="0">
                  <a:latin typeface="Cambria Math" panose="02040503050406030204" pitchFamily="18" charset="0"/>
                </a:rPr>
                <a:t>𝑋_(𝑜𝑟𝑔𝑇𝑆,𝑍𝐵)= 𝑋_(𝑇𝑆,𝑍𝐵)− 𝑋_(𝑎𝑛𝑜𝑟𝑔𝑇𝑆,𝑍𝐵)</a:t>
              </a:r>
              <a:endParaRPr lang="de-DE" sz="1100"/>
            </a:p>
          </xdr:txBody>
        </xdr:sp>
      </mc:Fallback>
    </mc:AlternateContent>
    <xdr:clientData/>
  </xdr:twoCellAnchor>
  <xdr:twoCellAnchor>
    <xdr:from>
      <xdr:col>1</xdr:col>
      <xdr:colOff>152400</xdr:colOff>
      <xdr:row>13</xdr:row>
      <xdr:rowOff>190500</xdr:rowOff>
    </xdr:from>
    <xdr:to>
      <xdr:col>1</xdr:col>
      <xdr:colOff>4711700</xdr:colOff>
      <xdr:row>13</xdr:row>
      <xdr:rowOff>581025</xdr:rowOff>
    </xdr:to>
    <mc:AlternateContent xmlns:mc="http://schemas.openxmlformats.org/markup-compatibility/2006" xmlns:a14="http://schemas.microsoft.com/office/drawing/2010/main">
      <mc:Choice Requires="a14">
        <xdr:sp macro="" textlink="">
          <xdr:nvSpPr>
            <xdr:cNvPr id="22" name="Textfeld 21">
              <a:extLst>
                <a:ext uri="{FF2B5EF4-FFF2-40B4-BE49-F238E27FC236}">
                  <a16:creationId xmlns:a16="http://schemas.microsoft.com/office/drawing/2014/main" id="{47DF4491-6298-4BC8-9755-FAA92BDECF1E}"/>
                </a:ext>
              </a:extLst>
            </xdr:cNvPr>
            <xdr:cNvSpPr txBox="1"/>
          </xdr:nvSpPr>
          <xdr:spPr>
            <a:xfrm>
              <a:off x="1955800" y="15367000"/>
              <a:ext cx="4559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14:m>
                <m:oMathPara xmlns:m="http://schemas.openxmlformats.org/officeDocument/2006/math">
                  <m:oMathParaPr>
                    <m:jc m:val="left"/>
                  </m:oMathParaPr>
                  <m:oMath xmlns:m="http://schemas.openxmlformats.org/officeDocument/2006/math">
                    <m:sSub>
                      <m:sSubPr>
                        <m:ctrlPr>
                          <a:rPr lang="de-DE" sz="2000" i="1">
                            <a:solidFill>
                              <a:schemeClr val="dk1"/>
                            </a:solidFill>
                            <a:latin typeface="Cambria Math" panose="02040503050406030204" pitchFamily="18" charset="0"/>
                            <a:ea typeface="+mn-ea"/>
                            <a:cs typeface="+mn-cs"/>
                          </a:rPr>
                        </m:ctrlPr>
                      </m:sSubPr>
                      <m:e>
                        <m:r>
                          <a:rPr lang="de-DE" sz="2000" b="0" i="1">
                            <a:solidFill>
                              <a:schemeClr val="dk1"/>
                            </a:solidFill>
                            <a:latin typeface="Cambria Math" panose="02040503050406030204" pitchFamily="18" charset="0"/>
                            <a:ea typeface="+mn-ea"/>
                            <a:cs typeface="+mn-cs"/>
                          </a:rPr>
                          <m:t>𝑆</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𝑎𝑏𝑏</m:t>
                        </m:r>
                        <m:r>
                          <a:rPr lang="de-DE" sz="2000" b="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b="0" i="1">
                            <a:solidFill>
                              <a:schemeClr val="dk1"/>
                            </a:solidFill>
                            <a:latin typeface="Cambria Math" panose="02040503050406030204" pitchFamily="18" charset="0"/>
                            <a:ea typeface="+mn-ea"/>
                            <a:cs typeface="+mn-cs"/>
                          </a:rPr>
                          <m:t>𝑆</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b="0" i="1">
                            <a:solidFill>
                              <a:schemeClr val="dk1"/>
                            </a:solidFill>
                            <a:latin typeface="Cambria Math" panose="02040503050406030204" pitchFamily="18" charset="0"/>
                            <a:ea typeface="+mn-ea"/>
                            <a:cs typeface="+mn-cs"/>
                          </a:rPr>
                          <m:t>𝑆</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𝑖𝑛𝑒𝑟𝑡</m:t>
                        </m:r>
                        <m:r>
                          <a:rPr lang="de-DE" sz="2000" b="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𝑍𝐵</m:t>
                        </m:r>
                      </m:sub>
                    </m:sSub>
                  </m:oMath>
                </m:oMathPara>
              </a14:m>
              <a:endParaRPr lang="de-DE" sz="2000" i="1">
                <a:solidFill>
                  <a:schemeClr val="dk1"/>
                </a:solidFill>
                <a:latin typeface="Cambria Math" panose="02040503050406030204" pitchFamily="18" charset="0"/>
                <a:ea typeface="+mn-ea"/>
                <a:cs typeface="+mn-cs"/>
              </a:endParaRPr>
            </a:p>
          </xdr:txBody>
        </xdr:sp>
      </mc:Choice>
      <mc:Fallback xmlns="">
        <xdr:sp macro="" textlink="">
          <xdr:nvSpPr>
            <xdr:cNvPr id="22" name="Textfeld 21">
              <a:extLst>
                <a:ext uri="{FF2B5EF4-FFF2-40B4-BE49-F238E27FC236}">
                  <a16:creationId xmlns:a16="http://schemas.microsoft.com/office/drawing/2014/main" id="{47DF4491-6298-4BC8-9755-FAA92BDECF1E}"/>
                </a:ext>
              </a:extLst>
            </xdr:cNvPr>
            <xdr:cNvSpPr txBox="1"/>
          </xdr:nvSpPr>
          <xdr:spPr>
            <a:xfrm>
              <a:off x="1955800" y="15367000"/>
              <a:ext cx="4559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de-DE" sz="2000" b="0" i="0">
                  <a:solidFill>
                    <a:schemeClr val="dk1"/>
                  </a:solidFill>
                  <a:latin typeface="Cambria Math" panose="02040503050406030204" pitchFamily="18" charset="0"/>
                  <a:ea typeface="+mn-ea"/>
                  <a:cs typeface="+mn-cs"/>
                </a:rPr>
                <a:t>𝑆_(</a:t>
              </a:r>
              <a:r>
                <a:rPr lang="de-DE" sz="2000" i="0">
                  <a:solidFill>
                    <a:schemeClr val="dk1"/>
                  </a:solidFill>
                  <a:latin typeface="Cambria Math" panose="02040503050406030204" pitchFamily="18" charset="0"/>
                  <a:ea typeface="+mn-ea"/>
                  <a:cs typeface="+mn-cs"/>
                </a:rPr>
                <a:t>𝐶𝑆𝐵,</a:t>
              </a:r>
              <a:r>
                <a:rPr lang="de-DE" sz="2000" b="0" i="0">
                  <a:solidFill>
                    <a:schemeClr val="dk1"/>
                  </a:solidFill>
                  <a:latin typeface="Cambria Math" panose="02040503050406030204" pitchFamily="18" charset="0"/>
                  <a:ea typeface="+mn-ea"/>
                  <a:cs typeface="+mn-cs"/>
                </a:rPr>
                <a:t>𝑎𝑏𝑏,</a:t>
              </a:r>
              <a:r>
                <a:rPr lang="de-DE" sz="2000" i="0">
                  <a:solidFill>
                    <a:schemeClr val="dk1"/>
                  </a:solidFill>
                  <a:latin typeface="Cambria Math" panose="02040503050406030204" pitchFamily="18" charset="0"/>
                  <a:ea typeface="+mn-ea"/>
                  <a:cs typeface="+mn-cs"/>
                </a:rPr>
                <a:t>𝑍𝐵)= </a:t>
              </a:r>
              <a:r>
                <a:rPr lang="de-DE" sz="2000" b="0" i="0">
                  <a:solidFill>
                    <a:schemeClr val="dk1"/>
                  </a:solidFill>
                  <a:latin typeface="Cambria Math" panose="02040503050406030204" pitchFamily="18" charset="0"/>
                  <a:ea typeface="+mn-ea"/>
                  <a:cs typeface="+mn-cs"/>
                </a:rPr>
                <a:t>𝑆_(</a:t>
              </a:r>
              <a:r>
                <a:rPr lang="de-DE" sz="2000" i="0">
                  <a:solidFill>
                    <a:schemeClr val="dk1"/>
                  </a:solidFill>
                  <a:latin typeface="Cambria Math" panose="02040503050406030204" pitchFamily="18" charset="0"/>
                  <a:ea typeface="+mn-ea"/>
                  <a:cs typeface="+mn-cs"/>
                </a:rPr>
                <a:t>𝐶𝑆𝐵,𝑍𝐵)− </a:t>
              </a:r>
              <a:r>
                <a:rPr lang="de-DE" sz="2000" b="0" i="0">
                  <a:solidFill>
                    <a:schemeClr val="dk1"/>
                  </a:solidFill>
                  <a:latin typeface="Cambria Math" panose="02040503050406030204" pitchFamily="18" charset="0"/>
                  <a:ea typeface="+mn-ea"/>
                  <a:cs typeface="+mn-cs"/>
                </a:rPr>
                <a:t>𝑆_(</a:t>
              </a:r>
              <a:r>
                <a:rPr lang="de-DE" sz="2000" i="0">
                  <a:solidFill>
                    <a:schemeClr val="dk1"/>
                  </a:solidFill>
                  <a:latin typeface="Cambria Math" panose="02040503050406030204" pitchFamily="18" charset="0"/>
                  <a:ea typeface="+mn-ea"/>
                  <a:cs typeface="+mn-cs"/>
                </a:rPr>
                <a:t>𝐶𝑆𝐵,</a:t>
              </a:r>
              <a:r>
                <a:rPr lang="de-DE" sz="2000" b="0" i="0">
                  <a:solidFill>
                    <a:schemeClr val="dk1"/>
                  </a:solidFill>
                  <a:latin typeface="Cambria Math" panose="02040503050406030204" pitchFamily="18" charset="0"/>
                  <a:ea typeface="+mn-ea"/>
                  <a:cs typeface="+mn-cs"/>
                </a:rPr>
                <a:t>𝑖𝑛𝑒𝑟𝑡,𝑍𝐵)</a:t>
              </a:r>
              <a:endParaRPr lang="de-DE" sz="2000" i="1">
                <a:solidFill>
                  <a:schemeClr val="dk1"/>
                </a:solidFill>
                <a:latin typeface="Cambria Math" panose="02040503050406030204" pitchFamily="18" charset="0"/>
                <a:ea typeface="+mn-ea"/>
                <a:cs typeface="+mn-cs"/>
              </a:endParaRPr>
            </a:p>
          </xdr:txBody>
        </xdr:sp>
      </mc:Fallback>
    </mc:AlternateContent>
    <xdr:clientData/>
  </xdr:twoCellAnchor>
  <xdr:twoCellAnchor>
    <xdr:from>
      <xdr:col>1</xdr:col>
      <xdr:colOff>152400</xdr:colOff>
      <xdr:row>12</xdr:row>
      <xdr:rowOff>190500</xdr:rowOff>
    </xdr:from>
    <xdr:to>
      <xdr:col>1</xdr:col>
      <xdr:colOff>4711700</xdr:colOff>
      <xdr:row>12</xdr:row>
      <xdr:rowOff>581025</xdr:rowOff>
    </xdr:to>
    <mc:AlternateContent xmlns:mc="http://schemas.openxmlformats.org/markup-compatibility/2006" xmlns:a14="http://schemas.microsoft.com/office/drawing/2010/main">
      <mc:Choice Requires="a14">
        <xdr:sp macro="" textlink="">
          <xdr:nvSpPr>
            <xdr:cNvPr id="23" name="Textfeld 22">
              <a:extLst>
                <a:ext uri="{FF2B5EF4-FFF2-40B4-BE49-F238E27FC236}">
                  <a16:creationId xmlns:a16="http://schemas.microsoft.com/office/drawing/2014/main" id="{42B1BE85-83A3-4BF0-81E3-240A0BA9CB8A}"/>
                </a:ext>
              </a:extLst>
            </xdr:cNvPr>
            <xdr:cNvSpPr txBox="1"/>
          </xdr:nvSpPr>
          <xdr:spPr>
            <a:xfrm>
              <a:off x="1955800" y="14541500"/>
              <a:ext cx="4559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14:m>
                <m:oMathPara xmlns:m="http://schemas.openxmlformats.org/officeDocument/2006/math">
                  <m:oMathParaPr>
                    <m:jc m:val="left"/>
                  </m:oMathParaPr>
                  <m:oMath xmlns:m="http://schemas.openxmlformats.org/officeDocument/2006/math">
                    <m:sSub>
                      <m:sSubPr>
                        <m:ctrlPr>
                          <a:rPr lang="de-DE" sz="2000" i="1">
                            <a:solidFill>
                              <a:schemeClr val="dk1"/>
                            </a:solidFill>
                            <a:latin typeface="Cambria Math" panose="02040503050406030204" pitchFamily="18" charset="0"/>
                            <a:ea typeface="+mn-ea"/>
                            <a:cs typeface="+mn-cs"/>
                          </a:rPr>
                        </m:ctrlPr>
                      </m:sSubPr>
                      <m:e>
                        <m:r>
                          <a:rPr lang="de-DE" sz="2000" b="0" i="1">
                            <a:solidFill>
                              <a:schemeClr val="dk1"/>
                            </a:solidFill>
                            <a:latin typeface="Cambria Math" panose="02040503050406030204" pitchFamily="18" charset="0"/>
                            <a:ea typeface="+mn-ea"/>
                            <a:cs typeface="+mn-cs"/>
                          </a:rPr>
                          <m:t>𝑋</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𝑎𝑏𝑏</m:t>
                        </m:r>
                        <m:r>
                          <a:rPr lang="de-DE" sz="2000" b="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b="0" i="1">
                            <a:solidFill>
                              <a:schemeClr val="dk1"/>
                            </a:solidFill>
                            <a:latin typeface="Cambria Math" panose="02040503050406030204" pitchFamily="18" charset="0"/>
                            <a:ea typeface="+mn-ea"/>
                            <a:cs typeface="+mn-cs"/>
                          </a:rPr>
                          <m:t>𝑋</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i="1">
                            <a:solidFill>
                              <a:schemeClr val="dk1"/>
                            </a:solidFill>
                            <a:latin typeface="Cambria Math" panose="02040503050406030204" pitchFamily="18" charset="0"/>
                            <a:ea typeface="+mn-ea"/>
                            <a:cs typeface="+mn-cs"/>
                          </a:rPr>
                          <m:t>𝑍𝐵</m:t>
                        </m:r>
                      </m:sub>
                    </m:sSub>
                    <m:r>
                      <a:rPr lang="de-DE" sz="2000" i="1">
                        <a:solidFill>
                          <a:schemeClr val="dk1"/>
                        </a:solidFill>
                        <a:latin typeface="Cambria Math" panose="02040503050406030204" pitchFamily="18" charset="0"/>
                        <a:ea typeface="+mn-ea"/>
                        <a:cs typeface="+mn-cs"/>
                      </a:rPr>
                      <m:t>− </m:t>
                    </m:r>
                    <m:sSub>
                      <m:sSubPr>
                        <m:ctrlPr>
                          <a:rPr lang="de-DE" sz="2000" i="1">
                            <a:solidFill>
                              <a:schemeClr val="dk1"/>
                            </a:solidFill>
                            <a:latin typeface="Cambria Math" panose="02040503050406030204" pitchFamily="18" charset="0"/>
                            <a:ea typeface="+mn-ea"/>
                            <a:cs typeface="+mn-cs"/>
                          </a:rPr>
                        </m:ctrlPr>
                      </m:sSubPr>
                      <m:e>
                        <m:r>
                          <a:rPr lang="de-DE" sz="2000" i="1">
                            <a:solidFill>
                              <a:schemeClr val="dk1"/>
                            </a:solidFill>
                            <a:latin typeface="Cambria Math" panose="02040503050406030204" pitchFamily="18" charset="0"/>
                            <a:ea typeface="+mn-ea"/>
                            <a:cs typeface="+mn-cs"/>
                          </a:rPr>
                          <m:t>𝑋</m:t>
                        </m:r>
                      </m:e>
                      <m:sub>
                        <m:r>
                          <a:rPr lang="de-DE" sz="2000" i="1">
                            <a:solidFill>
                              <a:schemeClr val="dk1"/>
                            </a:solidFill>
                            <a:latin typeface="Cambria Math" panose="02040503050406030204" pitchFamily="18" charset="0"/>
                            <a:ea typeface="+mn-ea"/>
                            <a:cs typeface="+mn-cs"/>
                          </a:rPr>
                          <m:t>𝐶𝑆𝐵</m:t>
                        </m:r>
                        <m:r>
                          <a:rPr lang="de-DE" sz="200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𝑖𝑛𝑒𝑟𝑡</m:t>
                        </m:r>
                        <m:r>
                          <a:rPr lang="de-DE" sz="2000" b="0" i="1">
                            <a:solidFill>
                              <a:schemeClr val="dk1"/>
                            </a:solidFill>
                            <a:latin typeface="Cambria Math" panose="02040503050406030204" pitchFamily="18" charset="0"/>
                            <a:ea typeface="+mn-ea"/>
                            <a:cs typeface="+mn-cs"/>
                          </a:rPr>
                          <m:t>,</m:t>
                        </m:r>
                        <m:r>
                          <a:rPr lang="de-DE" sz="2000" b="0" i="1">
                            <a:solidFill>
                              <a:schemeClr val="dk1"/>
                            </a:solidFill>
                            <a:latin typeface="Cambria Math" panose="02040503050406030204" pitchFamily="18" charset="0"/>
                            <a:ea typeface="+mn-ea"/>
                            <a:cs typeface="+mn-cs"/>
                          </a:rPr>
                          <m:t>𝑍𝐵</m:t>
                        </m:r>
                      </m:sub>
                    </m:sSub>
                  </m:oMath>
                </m:oMathPara>
              </a14:m>
              <a:endParaRPr lang="de-DE" sz="2000" i="1">
                <a:solidFill>
                  <a:schemeClr val="dk1"/>
                </a:solidFill>
                <a:latin typeface="Cambria Math" panose="02040503050406030204" pitchFamily="18" charset="0"/>
                <a:ea typeface="+mn-ea"/>
                <a:cs typeface="+mn-cs"/>
              </a:endParaRPr>
            </a:p>
          </xdr:txBody>
        </xdr:sp>
      </mc:Choice>
      <mc:Fallback xmlns="">
        <xdr:sp macro="" textlink="">
          <xdr:nvSpPr>
            <xdr:cNvPr id="23" name="Textfeld 22">
              <a:extLst>
                <a:ext uri="{FF2B5EF4-FFF2-40B4-BE49-F238E27FC236}">
                  <a16:creationId xmlns:a16="http://schemas.microsoft.com/office/drawing/2014/main" id="{42B1BE85-83A3-4BF0-81E3-240A0BA9CB8A}"/>
                </a:ext>
              </a:extLst>
            </xdr:cNvPr>
            <xdr:cNvSpPr txBox="1"/>
          </xdr:nvSpPr>
          <xdr:spPr>
            <a:xfrm>
              <a:off x="1955800" y="14541500"/>
              <a:ext cx="45593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de-DE" sz="2000" b="0" i="0">
                  <a:solidFill>
                    <a:schemeClr val="dk1"/>
                  </a:solidFill>
                  <a:latin typeface="Cambria Math" panose="02040503050406030204" pitchFamily="18" charset="0"/>
                  <a:ea typeface="+mn-ea"/>
                  <a:cs typeface="+mn-cs"/>
                </a:rPr>
                <a:t>𝑋_(</a:t>
              </a:r>
              <a:r>
                <a:rPr lang="de-DE" sz="2000" i="0">
                  <a:solidFill>
                    <a:schemeClr val="dk1"/>
                  </a:solidFill>
                  <a:latin typeface="Cambria Math" panose="02040503050406030204" pitchFamily="18" charset="0"/>
                  <a:ea typeface="+mn-ea"/>
                  <a:cs typeface="+mn-cs"/>
                </a:rPr>
                <a:t>𝐶𝑆𝐵,</a:t>
              </a:r>
              <a:r>
                <a:rPr lang="de-DE" sz="2000" b="0" i="0">
                  <a:solidFill>
                    <a:schemeClr val="dk1"/>
                  </a:solidFill>
                  <a:latin typeface="Cambria Math" panose="02040503050406030204" pitchFamily="18" charset="0"/>
                  <a:ea typeface="+mn-ea"/>
                  <a:cs typeface="+mn-cs"/>
                </a:rPr>
                <a:t>𝑎𝑏𝑏,</a:t>
              </a:r>
              <a:r>
                <a:rPr lang="de-DE" sz="2000" i="0">
                  <a:solidFill>
                    <a:schemeClr val="dk1"/>
                  </a:solidFill>
                  <a:latin typeface="Cambria Math" panose="02040503050406030204" pitchFamily="18" charset="0"/>
                  <a:ea typeface="+mn-ea"/>
                  <a:cs typeface="+mn-cs"/>
                </a:rPr>
                <a:t>𝑍𝐵)= </a:t>
              </a:r>
              <a:r>
                <a:rPr lang="de-DE" sz="2000" b="0" i="0">
                  <a:solidFill>
                    <a:schemeClr val="dk1"/>
                  </a:solidFill>
                  <a:latin typeface="Cambria Math" panose="02040503050406030204" pitchFamily="18" charset="0"/>
                  <a:ea typeface="+mn-ea"/>
                  <a:cs typeface="+mn-cs"/>
                </a:rPr>
                <a:t>𝑋_(</a:t>
              </a:r>
              <a:r>
                <a:rPr lang="de-DE" sz="2000" i="0">
                  <a:solidFill>
                    <a:schemeClr val="dk1"/>
                  </a:solidFill>
                  <a:latin typeface="Cambria Math" panose="02040503050406030204" pitchFamily="18" charset="0"/>
                  <a:ea typeface="+mn-ea"/>
                  <a:cs typeface="+mn-cs"/>
                </a:rPr>
                <a:t>𝐶𝑆𝐵,𝑍𝐵)− 𝑋_(𝐶𝑆𝐵,</a:t>
              </a:r>
              <a:r>
                <a:rPr lang="de-DE" sz="2000" b="0" i="0">
                  <a:solidFill>
                    <a:schemeClr val="dk1"/>
                  </a:solidFill>
                  <a:latin typeface="Cambria Math" panose="02040503050406030204" pitchFamily="18" charset="0"/>
                  <a:ea typeface="+mn-ea"/>
                  <a:cs typeface="+mn-cs"/>
                </a:rPr>
                <a:t>𝑖𝑛𝑒𝑟𝑡,𝑍𝐵)</a:t>
              </a:r>
              <a:endParaRPr lang="de-DE" sz="2000" i="1">
                <a:solidFill>
                  <a:schemeClr val="dk1"/>
                </a:solidFill>
                <a:latin typeface="Cambria Math" panose="02040503050406030204" pitchFamily="18" charset="0"/>
                <a:ea typeface="+mn-ea"/>
                <a:cs typeface="+mn-cs"/>
              </a:endParaRPr>
            </a:p>
          </xdr:txBody>
        </xdr:sp>
      </mc:Fallback>
    </mc:AlternateContent>
    <xdr:clientData/>
  </xdr:twoCellAnchor>
  <xdr:oneCellAnchor>
    <xdr:from>
      <xdr:col>1</xdr:col>
      <xdr:colOff>7918450</xdr:colOff>
      <xdr:row>13</xdr:row>
      <xdr:rowOff>114300</xdr:rowOff>
    </xdr:from>
    <xdr:ext cx="261995"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BC0C38F5-B601-42BB-9A13-DD3769391A09}"/>
                </a:ext>
              </a:extLst>
            </xdr:cNvPr>
            <xdr:cNvSpPr txBox="1"/>
          </xdr:nvSpPr>
          <xdr:spPr>
            <a:xfrm>
              <a:off x="9721850" y="14465300"/>
              <a:ext cx="26199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panose="02040503050406030204" pitchFamily="18" charset="0"/>
                          </a:rPr>
                        </m:ctrlPr>
                      </m:sSubPr>
                      <m:e/>
                      <m:sub/>
                    </m:sSub>
                  </m:oMath>
                </m:oMathPara>
              </a14:m>
              <a:endParaRPr lang="de-DE" sz="1100"/>
            </a:p>
          </xdr:txBody>
        </xdr:sp>
      </mc:Choice>
      <mc:Fallback xmlns="">
        <xdr:sp macro="" textlink="">
          <xdr:nvSpPr>
            <xdr:cNvPr id="3" name="Textfeld 2">
              <a:extLst>
                <a:ext uri="{FF2B5EF4-FFF2-40B4-BE49-F238E27FC236}">
                  <a16:creationId xmlns:a16="http://schemas.microsoft.com/office/drawing/2014/main" id="{BC0C38F5-B601-42BB-9A13-DD3769391A09}"/>
                </a:ext>
              </a:extLst>
            </xdr:cNvPr>
            <xdr:cNvSpPr txBox="1"/>
          </xdr:nvSpPr>
          <xdr:spPr>
            <a:xfrm>
              <a:off x="9721850" y="14465300"/>
              <a:ext cx="26199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〖_〗</a:t>
              </a:r>
              <a:endParaRPr lang="de-DE" sz="1100"/>
            </a:p>
          </xdr:txBody>
        </xdr:sp>
      </mc:Fallback>
    </mc:AlternateContent>
    <xdr:clientData/>
  </xdr:oneCellAnchor>
  <xdr:twoCellAnchor>
    <xdr:from>
      <xdr:col>1</xdr:col>
      <xdr:colOff>152400</xdr:colOff>
      <xdr:row>7</xdr:row>
      <xdr:rowOff>215900</xdr:rowOff>
    </xdr:from>
    <xdr:to>
      <xdr:col>1</xdr:col>
      <xdr:colOff>3086100</xdr:colOff>
      <xdr:row>7</xdr:row>
      <xdr:rowOff>606425</xdr:rowOff>
    </xdr:to>
    <mc:AlternateContent xmlns:mc="http://schemas.openxmlformats.org/markup-compatibility/2006" xmlns:a14="http://schemas.microsoft.com/office/drawing/2010/main">
      <mc:Choice Requires="a14">
        <xdr:sp macro="" textlink="">
          <xdr:nvSpPr>
            <xdr:cNvPr id="24" name="Textfeld 23">
              <a:extLst>
                <a:ext uri="{FF2B5EF4-FFF2-40B4-BE49-F238E27FC236}">
                  <a16:creationId xmlns:a16="http://schemas.microsoft.com/office/drawing/2014/main" id="{F1490FB7-C8D7-4DCD-8217-F7CA484ACF50}"/>
                </a:ext>
              </a:extLst>
            </xdr:cNvPr>
            <xdr:cNvSpPr txBox="1"/>
          </xdr:nvSpPr>
          <xdr:spPr>
            <a:xfrm>
              <a:off x="1955800" y="10439400"/>
              <a:ext cx="29337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left"/>
                  </m:oMathParaPr>
                  <m:oMath xmlns:m="http://schemas.openxmlformats.org/officeDocument/2006/math">
                    <m:sSub>
                      <m:sSubPr>
                        <m:ctrlPr>
                          <a:rPr lang="de-DE" sz="2000" i="1">
                            <a:latin typeface="Cambria Math" panose="02040503050406030204" pitchFamily="18" charset="0"/>
                          </a:rPr>
                        </m:ctrlPr>
                      </m:sSubPr>
                      <m:e>
                        <m:r>
                          <a:rPr lang="de-DE" sz="2000" b="0" i="1">
                            <a:latin typeface="Cambria Math" panose="02040503050406030204" pitchFamily="18" charset="0"/>
                          </a:rPr>
                          <m:t>𝑋</m:t>
                        </m:r>
                      </m:e>
                      <m:sub>
                        <m:r>
                          <a:rPr lang="de-DE" sz="2000" b="0" i="1">
                            <a:latin typeface="Cambria Math" panose="02040503050406030204" pitchFamily="18" charset="0"/>
                          </a:rPr>
                          <m:t>𝐶𝑆𝐵</m:t>
                        </m:r>
                        <m:r>
                          <a:rPr lang="de-DE" sz="2000" b="0" i="1">
                            <a:latin typeface="Cambria Math" panose="02040503050406030204" pitchFamily="18" charset="0"/>
                          </a:rPr>
                          <m:t>,</m:t>
                        </m:r>
                        <m:r>
                          <a:rPr lang="de-DE" sz="2000" b="0" i="1">
                            <a:latin typeface="Cambria Math" panose="02040503050406030204" pitchFamily="18" charset="0"/>
                          </a:rPr>
                          <m:t>𝑍𝐵</m:t>
                        </m:r>
                      </m:sub>
                    </m:sSub>
                    <m:r>
                      <a:rPr lang="de-DE" sz="2000" b="0" i="1">
                        <a:latin typeface="Cambria Math" panose="02040503050406030204" pitchFamily="18" charset="0"/>
                      </a:rPr>
                      <m:t>= </m:t>
                    </m:r>
                    <m:sSub>
                      <m:sSubPr>
                        <m:ctrlPr>
                          <a:rPr lang="de-DE" sz="2000" b="0" i="1">
                            <a:latin typeface="Cambria Math" panose="02040503050406030204" pitchFamily="18" charset="0"/>
                          </a:rPr>
                        </m:ctrlPr>
                      </m:sSubPr>
                      <m:e>
                        <m:r>
                          <a:rPr lang="de-DE" sz="2000" b="0" i="1">
                            <a:latin typeface="Cambria Math" panose="02040503050406030204" pitchFamily="18" charset="0"/>
                          </a:rPr>
                          <m:t>𝑋</m:t>
                        </m:r>
                      </m:e>
                      <m:sub>
                        <m:r>
                          <a:rPr lang="de-DE" sz="2000" b="0" i="1">
                            <a:latin typeface="Cambria Math" panose="02040503050406030204" pitchFamily="18" charset="0"/>
                          </a:rPr>
                          <m:t>𝑜𝑟𝑔𝑇𝑆</m:t>
                        </m:r>
                        <m:r>
                          <a:rPr lang="de-DE" sz="2000" b="0" i="1">
                            <a:latin typeface="Cambria Math" panose="02040503050406030204" pitchFamily="18" charset="0"/>
                          </a:rPr>
                          <m:t>,</m:t>
                        </m:r>
                        <m:r>
                          <a:rPr lang="de-DE" sz="2000" b="0" i="1">
                            <a:latin typeface="Cambria Math" panose="02040503050406030204" pitchFamily="18" charset="0"/>
                          </a:rPr>
                          <m:t>𝑍𝐵</m:t>
                        </m:r>
                      </m:sub>
                    </m:sSub>
                    <m:r>
                      <a:rPr lang="de-DE" sz="2000" b="0" i="1">
                        <a:latin typeface="Cambria Math" panose="02040503050406030204" pitchFamily="18" charset="0"/>
                      </a:rPr>
                      <m:t>∗1,6</m:t>
                    </m:r>
                  </m:oMath>
                </m:oMathPara>
              </a14:m>
              <a:endParaRPr lang="de-DE" sz="1100"/>
            </a:p>
          </xdr:txBody>
        </xdr:sp>
      </mc:Choice>
      <mc:Fallback xmlns="">
        <xdr:sp macro="" textlink="">
          <xdr:nvSpPr>
            <xdr:cNvPr id="24" name="Textfeld 23">
              <a:extLst>
                <a:ext uri="{FF2B5EF4-FFF2-40B4-BE49-F238E27FC236}">
                  <a16:creationId xmlns:a16="http://schemas.microsoft.com/office/drawing/2014/main" id="{F1490FB7-C8D7-4DCD-8217-F7CA484ACF50}"/>
                </a:ext>
              </a:extLst>
            </xdr:cNvPr>
            <xdr:cNvSpPr txBox="1"/>
          </xdr:nvSpPr>
          <xdr:spPr>
            <a:xfrm>
              <a:off x="1955800" y="10439400"/>
              <a:ext cx="2933700" cy="390525"/>
            </a:xfrm>
            <a:prstGeom prst="rect">
              <a:avLst/>
            </a:prstGeom>
            <a:solidFill>
              <a:srgbClr val="FFFF00"/>
            </a:solidFill>
            <a:ln>
              <a:solidFill>
                <a:srgbClr val="D5FFD5"/>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de-DE" sz="2000" b="0" i="0">
                  <a:latin typeface="Cambria Math" panose="02040503050406030204" pitchFamily="18" charset="0"/>
                </a:rPr>
                <a:t>𝑋_(𝐶𝑆𝐵,𝑍𝐵)= 𝑋_(𝑜𝑟𝑔𝑇𝑆,𝑍𝐵)∗1,6</a:t>
              </a:r>
              <a:endParaRPr lang="de-DE" sz="1100"/>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200025</xdr:colOff>
      <xdr:row>2</xdr:row>
      <xdr:rowOff>142875</xdr:rowOff>
    </xdr:from>
    <xdr:to>
      <xdr:col>2</xdr:col>
      <xdr:colOff>3438525</xdr:colOff>
      <xdr:row>2</xdr:row>
      <xdr:rowOff>866775</xdr:rowOff>
    </xdr:to>
    <xdr:pic>
      <xdr:nvPicPr>
        <xdr:cNvPr id="2" name="Picture 3">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9925" y="647700"/>
          <a:ext cx="3238500"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xdr:row>
      <xdr:rowOff>161925</xdr:rowOff>
    </xdr:from>
    <xdr:to>
      <xdr:col>2</xdr:col>
      <xdr:colOff>2209800</xdr:colOff>
      <xdr:row>5</xdr:row>
      <xdr:rowOff>885825</xdr:rowOff>
    </xdr:to>
    <xdr:pic>
      <xdr:nvPicPr>
        <xdr:cNvPr id="3" name="Picture 4">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9925" y="3829050"/>
          <a:ext cx="2009775"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200025</xdr:colOff>
      <xdr:row>2</xdr:row>
      <xdr:rowOff>142875</xdr:rowOff>
    </xdr:from>
    <xdr:to>
      <xdr:col>2</xdr:col>
      <xdr:colOff>3438525</xdr:colOff>
      <xdr:row>2</xdr:row>
      <xdr:rowOff>866775</xdr:rowOff>
    </xdr:to>
    <xdr:pic>
      <xdr:nvPicPr>
        <xdr:cNvPr id="3" name="Picture 3">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9925" y="647700"/>
          <a:ext cx="3238500"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xdr:row>
      <xdr:rowOff>161925</xdr:rowOff>
    </xdr:from>
    <xdr:to>
      <xdr:col>2</xdr:col>
      <xdr:colOff>2209800</xdr:colOff>
      <xdr:row>5</xdr:row>
      <xdr:rowOff>885825</xdr:rowOff>
    </xdr:to>
    <xdr:pic>
      <xdr:nvPicPr>
        <xdr:cNvPr id="4" name="Picture 4">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9925" y="3829050"/>
          <a:ext cx="2009775" cy="7239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133350</xdr:colOff>
      <xdr:row>4</xdr:row>
      <xdr:rowOff>200025</xdr:rowOff>
    </xdr:from>
    <xdr:to>
      <xdr:col>2</xdr:col>
      <xdr:colOff>2743200</xdr:colOff>
      <xdr:row>4</xdr:row>
      <xdr:rowOff>847725</xdr:rowOff>
    </xdr:to>
    <xdr:pic>
      <xdr:nvPicPr>
        <xdr:cNvPr id="2" name="Picture 4">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5314950"/>
          <a:ext cx="2609850" cy="6477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xdr:row>
      <xdr:rowOff>190500</xdr:rowOff>
    </xdr:from>
    <xdr:to>
      <xdr:col>2</xdr:col>
      <xdr:colOff>2943225</xdr:colOff>
      <xdr:row>5</xdr:row>
      <xdr:rowOff>800100</xdr:rowOff>
    </xdr:to>
    <xdr:pic>
      <xdr:nvPicPr>
        <xdr:cNvPr id="3" name="Picture 5">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0" y="6315075"/>
          <a:ext cx="2809875" cy="6096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xdr:row>
      <xdr:rowOff>209550</xdr:rowOff>
    </xdr:from>
    <xdr:to>
      <xdr:col>2</xdr:col>
      <xdr:colOff>2943225</xdr:colOff>
      <xdr:row>7</xdr:row>
      <xdr:rowOff>285750</xdr:rowOff>
    </xdr:to>
    <xdr:pic>
      <xdr:nvPicPr>
        <xdr:cNvPr id="4" name="Picture 6">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0" y="7343775"/>
          <a:ext cx="2809875" cy="5810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2</xdr:row>
      <xdr:rowOff>161925</xdr:rowOff>
    </xdr:from>
    <xdr:to>
      <xdr:col>2</xdr:col>
      <xdr:colOff>5381625</xdr:colOff>
      <xdr:row>2</xdr:row>
      <xdr:rowOff>3552825</xdr:rowOff>
    </xdr:to>
    <xdr:grpSp>
      <xdr:nvGrpSpPr>
        <xdr:cNvPr id="5" name="Gruppieren 4">
          <a:extLst>
            <a:ext uri="{FF2B5EF4-FFF2-40B4-BE49-F238E27FC236}">
              <a16:creationId xmlns:a16="http://schemas.microsoft.com/office/drawing/2014/main" id="{00000000-0008-0000-2000-000005000000}"/>
            </a:ext>
          </a:extLst>
        </xdr:cNvPr>
        <xdr:cNvGrpSpPr/>
      </xdr:nvGrpSpPr>
      <xdr:grpSpPr>
        <a:xfrm>
          <a:off x="3143250" y="1428750"/>
          <a:ext cx="5248275" cy="3390900"/>
          <a:chOff x="9001125" y="4933950"/>
          <a:chExt cx="5248275" cy="3390900"/>
        </a:xfrm>
        <a:effectLst>
          <a:glow rad="139700">
            <a:schemeClr val="accent3">
              <a:satMod val="175000"/>
              <a:alpha val="40000"/>
            </a:schemeClr>
          </a:glow>
        </a:effectLst>
      </xdr:grpSpPr>
      <xdr:pic>
        <xdr:nvPicPr>
          <xdr:cNvPr id="6" name="Picture 3">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05900" y="5343525"/>
            <a:ext cx="50006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Grafik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1125" y="4933950"/>
            <a:ext cx="5248275" cy="5143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133350</xdr:colOff>
      <xdr:row>4</xdr:row>
      <xdr:rowOff>200025</xdr:rowOff>
    </xdr:from>
    <xdr:to>
      <xdr:col>2</xdr:col>
      <xdr:colOff>2743200</xdr:colOff>
      <xdr:row>4</xdr:row>
      <xdr:rowOff>847725</xdr:rowOff>
    </xdr:to>
    <xdr:pic>
      <xdr:nvPicPr>
        <xdr:cNvPr id="5" name="Pictur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5314950"/>
          <a:ext cx="2609850" cy="6477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xdr:row>
      <xdr:rowOff>190500</xdr:rowOff>
    </xdr:from>
    <xdr:to>
      <xdr:col>2</xdr:col>
      <xdr:colOff>2943225</xdr:colOff>
      <xdr:row>5</xdr:row>
      <xdr:rowOff>800100</xdr:rowOff>
    </xdr:to>
    <xdr:pic>
      <xdr:nvPicPr>
        <xdr:cNvPr id="6" name="Picture 5">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0" y="6315075"/>
          <a:ext cx="2809875" cy="609600"/>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xdr:row>
      <xdr:rowOff>209550</xdr:rowOff>
    </xdr:from>
    <xdr:to>
      <xdr:col>2</xdr:col>
      <xdr:colOff>2943225</xdr:colOff>
      <xdr:row>7</xdr:row>
      <xdr:rowOff>285750</xdr:rowOff>
    </xdr:to>
    <xdr:pic>
      <xdr:nvPicPr>
        <xdr:cNvPr id="7" name="Picture 6">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0" y="7343775"/>
          <a:ext cx="2809875" cy="5810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2</xdr:row>
      <xdr:rowOff>161925</xdr:rowOff>
    </xdr:from>
    <xdr:to>
      <xdr:col>2</xdr:col>
      <xdr:colOff>5381625</xdr:colOff>
      <xdr:row>2</xdr:row>
      <xdr:rowOff>3552825</xdr:rowOff>
    </xdr:to>
    <xdr:grpSp>
      <xdr:nvGrpSpPr>
        <xdr:cNvPr id="9" name="Gruppieren 8">
          <a:extLst>
            <a:ext uri="{FF2B5EF4-FFF2-40B4-BE49-F238E27FC236}">
              <a16:creationId xmlns:a16="http://schemas.microsoft.com/office/drawing/2014/main" id="{00000000-0008-0000-2100-000009000000}"/>
            </a:ext>
          </a:extLst>
        </xdr:cNvPr>
        <xdr:cNvGrpSpPr/>
      </xdr:nvGrpSpPr>
      <xdr:grpSpPr>
        <a:xfrm>
          <a:off x="3143250" y="1428750"/>
          <a:ext cx="5248275" cy="3390900"/>
          <a:chOff x="9001125" y="4933950"/>
          <a:chExt cx="5248275" cy="3390900"/>
        </a:xfrm>
        <a:effectLst>
          <a:glow rad="139700">
            <a:schemeClr val="accent3">
              <a:satMod val="175000"/>
              <a:alpha val="40000"/>
            </a:schemeClr>
          </a:glow>
        </a:effectLst>
      </xdr:grpSpPr>
      <xdr:pic>
        <xdr:nvPicPr>
          <xdr:cNvPr id="4" name="Pictur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05900" y="5343525"/>
            <a:ext cx="500062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Grafik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1125" y="4933950"/>
            <a:ext cx="5248275" cy="5143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142875</xdr:colOff>
      <xdr:row>8</xdr:row>
      <xdr:rowOff>95249</xdr:rowOff>
    </xdr:from>
    <xdr:to>
      <xdr:col>2</xdr:col>
      <xdr:colOff>3462814</xdr:colOff>
      <xdr:row>10</xdr:row>
      <xdr:rowOff>542925</xdr:rowOff>
    </xdr:to>
    <xdr:pic>
      <xdr:nvPicPr>
        <xdr:cNvPr id="2" name="Grafik 1">
          <a:extLst>
            <a:ext uri="{FF2B5EF4-FFF2-40B4-BE49-F238E27FC236}">
              <a16:creationId xmlns:a16="http://schemas.microsoft.com/office/drawing/2014/main" id="{8A626883-F536-4F37-9F20-9F9A4B5A7031}"/>
            </a:ext>
          </a:extLst>
        </xdr:cNvPr>
        <xdr:cNvPicPr>
          <a:picLocks noChangeAspect="1"/>
        </xdr:cNvPicPr>
      </xdr:nvPicPr>
      <xdr:blipFill>
        <a:blip xmlns:r="http://schemas.openxmlformats.org/officeDocument/2006/relationships" r:embed="rId6"/>
        <a:stretch>
          <a:fillRect/>
        </a:stretch>
      </xdr:blipFill>
      <xdr:spPr>
        <a:xfrm>
          <a:off x="3152775" y="9001124"/>
          <a:ext cx="3319939" cy="170497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628650</xdr:colOff>
      <xdr:row>7</xdr:row>
      <xdr:rowOff>132953</xdr:rowOff>
    </xdr:from>
    <xdr:to>
      <xdr:col>17</xdr:col>
      <xdr:colOff>18184</xdr:colOff>
      <xdr:row>13</xdr:row>
      <xdr:rowOff>63188</xdr:rowOff>
    </xdr:to>
    <mc:AlternateContent xmlns:mc="http://schemas.openxmlformats.org/markup-compatibility/2006" xmlns:a14="http://schemas.microsoft.com/office/drawing/2010/main">
      <mc:Choice Requires="a14">
        <xdr:sp macro="" textlink="">
          <xdr:nvSpPr>
            <xdr:cNvPr id="2" name="Textfeld 35">
              <a:extLst>
                <a:ext uri="{FF2B5EF4-FFF2-40B4-BE49-F238E27FC236}">
                  <a16:creationId xmlns:a16="http://schemas.microsoft.com/office/drawing/2014/main" id="{00000000-0008-0000-2200-000002000000}"/>
                </a:ext>
              </a:extLst>
            </xdr:cNvPr>
            <xdr:cNvSpPr txBox="1"/>
          </xdr:nvSpPr>
          <xdr:spPr>
            <a:xfrm>
              <a:off x="9086850" y="1371203"/>
              <a:ext cx="3961534" cy="901785"/>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𝑅𝑆</m:t>
                        </m:r>
                      </m:sub>
                    </m:sSub>
                    <m:r>
                      <a:rPr lang="de-DE" sz="2800" b="0" i="1">
                        <a:latin typeface="Cambria Math"/>
                      </a:rPr>
                      <m:t> = </m:t>
                    </m:r>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𝐵𝐵</m:t>
                        </m:r>
                      </m:sub>
                    </m:sSub>
                    <m:r>
                      <a:rPr lang="de-DE" sz="2800" b="0" i="1">
                        <a:latin typeface="Cambria Math"/>
                      </a:rPr>
                      <m:t> ∗</m:t>
                    </m:r>
                    <m:f>
                      <m:fPr>
                        <m:ctrlPr>
                          <a:rPr lang="de-DE" sz="2800" b="0" i="1">
                            <a:latin typeface="Cambria Math" panose="02040503050406030204" pitchFamily="18" charset="0"/>
                          </a:rPr>
                        </m:ctrlPr>
                      </m:fPr>
                      <m:num>
                        <m:r>
                          <a:rPr lang="de-DE" sz="2800" b="0" i="1">
                            <a:latin typeface="Cambria Math"/>
                          </a:rPr>
                          <m:t>1+ </m:t>
                        </m:r>
                        <m:r>
                          <a:rPr lang="de-DE" sz="2800" b="0" i="1">
                            <a:latin typeface="Cambria Math"/>
                          </a:rPr>
                          <m:t>𝑅𝑉</m:t>
                        </m:r>
                      </m:num>
                      <m:den>
                        <m:r>
                          <a:rPr lang="de-DE" sz="2800" b="0" i="1">
                            <a:latin typeface="Cambria Math"/>
                          </a:rPr>
                          <m:t>𝑅𝑉</m:t>
                        </m:r>
                      </m:den>
                    </m:f>
                  </m:oMath>
                </m:oMathPara>
              </a14:m>
              <a:endParaRPr lang="de-DE" sz="1600"/>
            </a:p>
          </xdr:txBody>
        </xdr:sp>
      </mc:Choice>
      <mc:Fallback xmlns="">
        <xdr:sp macro="" textlink="">
          <xdr:nvSpPr>
            <xdr:cNvPr id="2" name="Textfeld 35"/>
            <xdr:cNvSpPr txBox="1"/>
          </xdr:nvSpPr>
          <xdr:spPr>
            <a:xfrm>
              <a:off x="9086850" y="1371203"/>
              <a:ext cx="3961534" cy="901785"/>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2800" b="0" i="0">
                  <a:latin typeface="Cambria Math"/>
                </a:rPr>
                <a:t>〖𝑇𝑆〗_𝑅𝑆  = 〖𝑇𝑆〗_𝐵𝐵  ∗(1+ 𝑅𝑉)/𝑅𝑉</a:t>
              </a:r>
              <a:endParaRPr lang="de-DE" sz="1600"/>
            </a:p>
          </xdr:txBody>
        </xdr:sp>
      </mc:Fallback>
    </mc:AlternateContent>
    <xdr:clientData/>
  </xdr:twoCellAnchor>
  <xdr:twoCellAnchor>
    <xdr:from>
      <xdr:col>11</xdr:col>
      <xdr:colOff>628650</xdr:colOff>
      <xdr:row>14</xdr:row>
      <xdr:rowOff>28575</xdr:rowOff>
    </xdr:from>
    <xdr:to>
      <xdr:col>16</xdr:col>
      <xdr:colOff>248755</xdr:colOff>
      <xdr:row>20</xdr:row>
      <xdr:rowOff>32100</xdr:rowOff>
    </xdr:to>
    <mc:AlternateContent xmlns:mc="http://schemas.openxmlformats.org/markup-compatibility/2006" xmlns:a14="http://schemas.microsoft.com/office/drawing/2010/main">
      <mc:Choice Requires="a14">
        <xdr:sp macro="" textlink="">
          <xdr:nvSpPr>
            <xdr:cNvPr id="3" name="Textfeld 36">
              <a:extLst>
                <a:ext uri="{FF2B5EF4-FFF2-40B4-BE49-F238E27FC236}">
                  <a16:creationId xmlns:a16="http://schemas.microsoft.com/office/drawing/2014/main" id="{00000000-0008-0000-2200-000003000000}"/>
                </a:ext>
              </a:extLst>
            </xdr:cNvPr>
            <xdr:cNvSpPr txBox="1"/>
          </xdr:nvSpPr>
          <xdr:spPr>
            <a:xfrm>
              <a:off x="9086850" y="2400300"/>
              <a:ext cx="3430105" cy="975075"/>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de-DE" sz="2800" b="0" i="1">
                        <a:latin typeface="Cambria Math"/>
                      </a:rPr>
                      <m:t>𝑅𝑉</m:t>
                    </m:r>
                    <m:r>
                      <a:rPr lang="de-DE" sz="2800" b="0" i="1">
                        <a:latin typeface="Cambria Math"/>
                      </a:rPr>
                      <m:t> = </m:t>
                    </m:r>
                    <m:f>
                      <m:fPr>
                        <m:ctrlPr>
                          <a:rPr lang="de-DE" sz="2800" b="0" i="1">
                            <a:latin typeface="Cambria Math" panose="02040503050406030204" pitchFamily="18" charset="0"/>
                          </a:rPr>
                        </m:ctrlPr>
                      </m:fPr>
                      <m:num>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𝐵𝐵</m:t>
                            </m:r>
                          </m:sub>
                        </m:sSub>
                      </m:num>
                      <m:den>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𝑅𝑆</m:t>
                            </m:r>
                          </m:sub>
                        </m:sSub>
                        <m:r>
                          <a:rPr lang="de-DE" sz="2800" b="0" i="1">
                            <a:latin typeface="Cambria Math"/>
                          </a:rPr>
                          <m:t> − </m:t>
                        </m:r>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𝐵𝐵</m:t>
                            </m:r>
                          </m:sub>
                        </m:sSub>
                      </m:den>
                    </m:f>
                  </m:oMath>
                </m:oMathPara>
              </a14:m>
              <a:endParaRPr lang="de-DE" sz="1600"/>
            </a:p>
          </xdr:txBody>
        </xdr:sp>
      </mc:Choice>
      <mc:Fallback xmlns="">
        <xdr:sp macro="" textlink="">
          <xdr:nvSpPr>
            <xdr:cNvPr id="3" name="Textfeld 36"/>
            <xdr:cNvSpPr txBox="1"/>
          </xdr:nvSpPr>
          <xdr:spPr>
            <a:xfrm>
              <a:off x="9086850" y="2400300"/>
              <a:ext cx="3430105" cy="975075"/>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2800" b="0" i="0">
                  <a:latin typeface="Cambria Math"/>
                </a:rPr>
                <a:t>𝑅𝑉 =  〖𝑇𝑆〗_𝐵𝐵/(〖𝑇𝑆〗_𝑅𝑆  − 〖𝑇𝑆〗_𝐵𝐵 )</a:t>
              </a:r>
              <a:endParaRPr lang="de-DE" sz="1600"/>
            </a:p>
          </xdr:txBody>
        </xdr:sp>
      </mc:Fallback>
    </mc:AlternateContent>
    <xdr:clientData/>
  </xdr:twoCellAnchor>
  <xdr:twoCellAnchor>
    <xdr:from>
      <xdr:col>11</xdr:col>
      <xdr:colOff>628650</xdr:colOff>
      <xdr:row>1</xdr:row>
      <xdr:rowOff>28575</xdr:rowOff>
    </xdr:from>
    <xdr:to>
      <xdr:col>16</xdr:col>
      <xdr:colOff>606162</xdr:colOff>
      <xdr:row>6</xdr:row>
      <xdr:rowOff>139905</xdr:rowOff>
    </xdr:to>
    <mc:AlternateContent xmlns:mc="http://schemas.openxmlformats.org/markup-compatibility/2006" xmlns:a14="http://schemas.microsoft.com/office/drawing/2010/main">
      <mc:Choice Requires="a14">
        <xdr:sp macro="" textlink="">
          <xdr:nvSpPr>
            <xdr:cNvPr id="4" name="Textfeld 16">
              <a:extLst>
                <a:ext uri="{FF2B5EF4-FFF2-40B4-BE49-F238E27FC236}">
                  <a16:creationId xmlns:a16="http://schemas.microsoft.com/office/drawing/2014/main" id="{00000000-0008-0000-2200-000004000000}"/>
                </a:ext>
              </a:extLst>
            </xdr:cNvPr>
            <xdr:cNvSpPr txBox="1"/>
          </xdr:nvSpPr>
          <xdr:spPr>
            <a:xfrm>
              <a:off x="9086850" y="190500"/>
              <a:ext cx="3787512" cy="1025730"/>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de-DE" sz="3200" b="0" i="1">
                            <a:latin typeface="Cambria Math" panose="02040503050406030204" pitchFamily="18" charset="0"/>
                          </a:rPr>
                        </m:ctrlPr>
                      </m:sSubPr>
                      <m:e>
                        <m:r>
                          <a:rPr lang="de-DE" sz="3200" b="0" i="1">
                            <a:latin typeface="Cambria Math"/>
                          </a:rPr>
                          <m:t>𝑇𝑆</m:t>
                        </m:r>
                      </m:e>
                      <m:sub>
                        <m:r>
                          <a:rPr lang="de-DE" sz="3200" b="0" i="1">
                            <a:latin typeface="Cambria Math"/>
                          </a:rPr>
                          <m:t>𝐵𝐵</m:t>
                        </m:r>
                      </m:sub>
                    </m:sSub>
                    <m:r>
                      <a:rPr lang="de-DE" sz="3200" b="0" i="1">
                        <a:latin typeface="Cambria Math"/>
                      </a:rPr>
                      <m:t> = </m:t>
                    </m:r>
                    <m:f>
                      <m:fPr>
                        <m:ctrlPr>
                          <a:rPr lang="de-DE" sz="3200" b="0" i="1">
                            <a:latin typeface="Cambria Math" panose="02040503050406030204" pitchFamily="18" charset="0"/>
                          </a:rPr>
                        </m:ctrlPr>
                      </m:fPr>
                      <m:num>
                        <m:r>
                          <a:rPr lang="de-DE" sz="3200" b="0" i="1">
                            <a:latin typeface="Cambria Math"/>
                          </a:rPr>
                          <m:t>𝑅𝑉</m:t>
                        </m:r>
                        <m:r>
                          <a:rPr lang="de-DE" sz="3200" b="0" i="1">
                            <a:latin typeface="Cambria Math"/>
                          </a:rPr>
                          <m:t> ∗ </m:t>
                        </m:r>
                        <m:sSub>
                          <m:sSubPr>
                            <m:ctrlPr>
                              <a:rPr lang="de-DE" sz="3200" b="0" i="1">
                                <a:latin typeface="Cambria Math" panose="02040503050406030204" pitchFamily="18" charset="0"/>
                              </a:rPr>
                            </m:ctrlPr>
                          </m:sSubPr>
                          <m:e>
                            <m:r>
                              <a:rPr lang="de-DE" sz="3200" b="0" i="1">
                                <a:latin typeface="Cambria Math"/>
                              </a:rPr>
                              <m:t>𝑇𝑆</m:t>
                            </m:r>
                          </m:e>
                          <m:sub>
                            <m:r>
                              <a:rPr lang="de-DE" sz="3200" b="0" i="1">
                                <a:latin typeface="Cambria Math"/>
                              </a:rPr>
                              <m:t>𝑅𝑆</m:t>
                            </m:r>
                          </m:sub>
                        </m:sSub>
                      </m:num>
                      <m:den>
                        <m:r>
                          <a:rPr lang="de-DE" sz="3200" b="0" i="1">
                            <a:latin typeface="Cambria Math"/>
                          </a:rPr>
                          <m:t>1+</m:t>
                        </m:r>
                        <m:r>
                          <a:rPr lang="de-DE" sz="3200" b="0" i="1">
                            <a:latin typeface="Cambria Math"/>
                          </a:rPr>
                          <m:t>𝑅𝑉</m:t>
                        </m:r>
                      </m:den>
                    </m:f>
                  </m:oMath>
                </m:oMathPara>
              </a14:m>
              <a:endParaRPr lang="de-DE"/>
            </a:p>
          </xdr:txBody>
        </xdr:sp>
      </mc:Choice>
      <mc:Fallback xmlns="">
        <xdr:sp macro="" textlink="">
          <xdr:nvSpPr>
            <xdr:cNvPr id="4" name="Textfeld 16"/>
            <xdr:cNvSpPr txBox="1"/>
          </xdr:nvSpPr>
          <xdr:spPr>
            <a:xfrm>
              <a:off x="9086850" y="190500"/>
              <a:ext cx="3787512" cy="1025730"/>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3200" b="0" i="0">
                  <a:latin typeface="Cambria Math"/>
                </a:rPr>
                <a:t>〖𝑇𝑆〗_𝐵𝐵  =  (𝑅𝑉 ∗ 〖𝑇𝑆〗_𝑅𝑆)/(1+𝑅𝑉)</a:t>
              </a:r>
              <a:endParaRPr lang="de-DE"/>
            </a:p>
          </xdr:txBody>
        </xdr:sp>
      </mc:Fallback>
    </mc:AlternateContent>
    <xdr:clientData/>
  </xdr:twoCellAnchor>
  <xdr:twoCellAnchor>
    <xdr:from>
      <xdr:col>6</xdr:col>
      <xdr:colOff>171450</xdr:colOff>
      <xdr:row>7</xdr:row>
      <xdr:rowOff>132953</xdr:rowOff>
    </xdr:from>
    <xdr:to>
      <xdr:col>11</xdr:col>
      <xdr:colOff>476250</xdr:colOff>
      <xdr:row>13</xdr:row>
      <xdr:rowOff>63188</xdr:rowOff>
    </xdr:to>
    <mc:AlternateContent xmlns:mc="http://schemas.openxmlformats.org/markup-compatibility/2006" xmlns:a14="http://schemas.microsoft.com/office/drawing/2010/main">
      <mc:Choice Requires="a14">
        <xdr:sp macro="" textlink="">
          <xdr:nvSpPr>
            <xdr:cNvPr id="5" name="Textfeld 35">
              <a:extLst>
                <a:ext uri="{FF2B5EF4-FFF2-40B4-BE49-F238E27FC236}">
                  <a16:creationId xmlns:a16="http://schemas.microsoft.com/office/drawing/2014/main" id="{00000000-0008-0000-2200-000005000000}"/>
                </a:ext>
              </a:extLst>
            </xdr:cNvPr>
            <xdr:cNvSpPr txBox="1"/>
          </xdr:nvSpPr>
          <xdr:spPr>
            <a:xfrm>
              <a:off x="4819650" y="1371203"/>
              <a:ext cx="4114800" cy="901785"/>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𝑅𝐴𝑆</m:t>
                        </m:r>
                      </m:sub>
                    </m:sSub>
                    <m:r>
                      <a:rPr lang="de-DE" sz="2800" b="0" i="1">
                        <a:latin typeface="Cambria Math"/>
                      </a:rPr>
                      <m:t> =</m:t>
                    </m:r>
                    <m:r>
                      <a:rPr lang="de-DE" sz="2800" b="0" i="1">
                        <a:latin typeface="Cambria Math"/>
                      </a:rPr>
                      <m:t>𝑀𝐿𝑆𝑆</m:t>
                    </m:r>
                    <m:r>
                      <a:rPr lang="de-DE" sz="2800" b="0" i="1">
                        <a:latin typeface="Cambria Math"/>
                      </a:rPr>
                      <m:t> ∗</m:t>
                    </m:r>
                    <m:f>
                      <m:fPr>
                        <m:ctrlPr>
                          <a:rPr lang="de-DE" sz="2800" b="0" i="1">
                            <a:latin typeface="Cambria Math" panose="02040503050406030204" pitchFamily="18" charset="0"/>
                          </a:rPr>
                        </m:ctrlPr>
                      </m:fPr>
                      <m:num>
                        <m:r>
                          <a:rPr lang="de-DE" sz="2800" b="0" i="1">
                            <a:latin typeface="Cambria Math"/>
                          </a:rPr>
                          <m:t>1+ </m:t>
                        </m:r>
                        <m:r>
                          <a:rPr lang="de-DE" sz="2800" b="0" i="1">
                            <a:latin typeface="Cambria Math"/>
                          </a:rPr>
                          <m:t>𝑅𝑅</m:t>
                        </m:r>
                      </m:num>
                      <m:den>
                        <m:r>
                          <a:rPr lang="de-DE" sz="2800" b="0" i="1">
                            <a:latin typeface="Cambria Math"/>
                          </a:rPr>
                          <m:t>𝑅𝑅</m:t>
                        </m:r>
                      </m:den>
                    </m:f>
                  </m:oMath>
                </m:oMathPara>
              </a14:m>
              <a:endParaRPr lang="de-DE" sz="1600"/>
            </a:p>
          </xdr:txBody>
        </xdr:sp>
      </mc:Choice>
      <mc:Fallback xmlns="">
        <xdr:sp macro="" textlink="">
          <xdr:nvSpPr>
            <xdr:cNvPr id="5" name="Textfeld 35"/>
            <xdr:cNvSpPr txBox="1"/>
          </xdr:nvSpPr>
          <xdr:spPr>
            <a:xfrm>
              <a:off x="4819650" y="1371203"/>
              <a:ext cx="4114800" cy="901785"/>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2800" b="0" i="0">
                  <a:latin typeface="Cambria Math"/>
                </a:rPr>
                <a:t>〖𝑇𝑆〗_𝑅𝐴𝑆  =𝑀𝐿𝑆𝑆 ∗(1+ 𝑅𝑅)/𝑅𝑅</a:t>
              </a:r>
              <a:endParaRPr lang="de-DE" sz="1600"/>
            </a:p>
          </xdr:txBody>
        </xdr:sp>
      </mc:Fallback>
    </mc:AlternateContent>
    <xdr:clientData/>
  </xdr:twoCellAnchor>
  <xdr:twoCellAnchor>
    <xdr:from>
      <xdr:col>6</xdr:col>
      <xdr:colOff>171450</xdr:colOff>
      <xdr:row>14</xdr:row>
      <xdr:rowOff>28575</xdr:rowOff>
    </xdr:from>
    <xdr:to>
      <xdr:col>11</xdr:col>
      <xdr:colOff>104775</xdr:colOff>
      <xdr:row>20</xdr:row>
      <xdr:rowOff>32100</xdr:rowOff>
    </xdr:to>
    <mc:AlternateContent xmlns:mc="http://schemas.openxmlformats.org/markup-compatibility/2006" xmlns:a14="http://schemas.microsoft.com/office/drawing/2010/main">
      <mc:Choice Requires="a14">
        <xdr:sp macro="" textlink="">
          <xdr:nvSpPr>
            <xdr:cNvPr id="6" name="Textfeld 36">
              <a:extLst>
                <a:ext uri="{FF2B5EF4-FFF2-40B4-BE49-F238E27FC236}">
                  <a16:creationId xmlns:a16="http://schemas.microsoft.com/office/drawing/2014/main" id="{00000000-0008-0000-2200-000006000000}"/>
                </a:ext>
              </a:extLst>
            </xdr:cNvPr>
            <xdr:cNvSpPr txBox="1"/>
          </xdr:nvSpPr>
          <xdr:spPr>
            <a:xfrm>
              <a:off x="4819650" y="2400300"/>
              <a:ext cx="3743325" cy="975075"/>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de-DE" sz="2800" b="0" i="1">
                        <a:latin typeface="Cambria Math"/>
                      </a:rPr>
                      <m:t>𝑅𝑅</m:t>
                    </m:r>
                    <m:r>
                      <a:rPr lang="de-DE" sz="2800" b="0" i="1">
                        <a:latin typeface="Cambria Math"/>
                      </a:rPr>
                      <m:t> = </m:t>
                    </m:r>
                    <m:f>
                      <m:fPr>
                        <m:ctrlPr>
                          <a:rPr lang="de-DE" sz="2800" b="0" i="1">
                            <a:latin typeface="Cambria Math" panose="02040503050406030204" pitchFamily="18" charset="0"/>
                          </a:rPr>
                        </m:ctrlPr>
                      </m:fPr>
                      <m:num>
                        <m:r>
                          <a:rPr lang="de-DE" sz="2800" b="0" i="1">
                            <a:latin typeface="Cambria Math"/>
                          </a:rPr>
                          <m:t>𝑀𝐿𝑆𝑆</m:t>
                        </m:r>
                      </m:num>
                      <m:den>
                        <m:sSub>
                          <m:sSubPr>
                            <m:ctrlPr>
                              <a:rPr lang="de-DE" sz="2800" b="0" i="1">
                                <a:latin typeface="Cambria Math" panose="02040503050406030204" pitchFamily="18" charset="0"/>
                              </a:rPr>
                            </m:ctrlPr>
                          </m:sSubPr>
                          <m:e>
                            <m:r>
                              <a:rPr lang="de-DE" sz="2800" b="0" i="1">
                                <a:latin typeface="Cambria Math"/>
                              </a:rPr>
                              <m:t>𝑇𝑆</m:t>
                            </m:r>
                          </m:e>
                          <m:sub>
                            <m:r>
                              <a:rPr lang="de-DE" sz="2800" b="0" i="1">
                                <a:latin typeface="Cambria Math"/>
                              </a:rPr>
                              <m:t>𝑅𝐴𝑆</m:t>
                            </m:r>
                          </m:sub>
                        </m:sSub>
                        <m:r>
                          <a:rPr lang="de-DE" sz="2800" b="0" i="1">
                            <a:latin typeface="Cambria Math"/>
                          </a:rPr>
                          <m:t> −</m:t>
                        </m:r>
                        <m:r>
                          <a:rPr lang="de-DE" sz="2800" b="0" i="1">
                            <a:latin typeface="Cambria Math"/>
                          </a:rPr>
                          <m:t>𝑀𝐿𝑆𝑆</m:t>
                        </m:r>
                      </m:den>
                    </m:f>
                  </m:oMath>
                </m:oMathPara>
              </a14:m>
              <a:endParaRPr lang="de-DE" sz="1600"/>
            </a:p>
          </xdr:txBody>
        </xdr:sp>
      </mc:Choice>
      <mc:Fallback xmlns="">
        <xdr:sp macro="" textlink="">
          <xdr:nvSpPr>
            <xdr:cNvPr id="6" name="Textfeld 36"/>
            <xdr:cNvSpPr txBox="1"/>
          </xdr:nvSpPr>
          <xdr:spPr>
            <a:xfrm>
              <a:off x="4819650" y="2400300"/>
              <a:ext cx="3743325" cy="975075"/>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2800" b="0" i="0">
                  <a:latin typeface="Cambria Math"/>
                </a:rPr>
                <a:t>𝑅𝑅 =  𝑀𝐿𝑆𝑆/(〖𝑇𝑆〗_𝑅𝐴𝑆  −𝑀𝐿𝑆𝑆)</a:t>
              </a:r>
              <a:endParaRPr lang="de-DE" sz="1600"/>
            </a:p>
          </xdr:txBody>
        </xdr:sp>
      </mc:Fallback>
    </mc:AlternateContent>
    <xdr:clientData/>
  </xdr:twoCellAnchor>
  <xdr:twoCellAnchor>
    <xdr:from>
      <xdr:col>6</xdr:col>
      <xdr:colOff>171450</xdr:colOff>
      <xdr:row>1</xdr:row>
      <xdr:rowOff>28575</xdr:rowOff>
    </xdr:from>
    <xdr:to>
      <xdr:col>11</xdr:col>
      <xdr:colOff>457200</xdr:colOff>
      <xdr:row>6</xdr:row>
      <xdr:rowOff>139905</xdr:rowOff>
    </xdr:to>
    <mc:AlternateContent xmlns:mc="http://schemas.openxmlformats.org/markup-compatibility/2006" xmlns:a14="http://schemas.microsoft.com/office/drawing/2010/main">
      <mc:Choice Requires="a14">
        <xdr:sp macro="" textlink="">
          <xdr:nvSpPr>
            <xdr:cNvPr id="7" name="Textfeld 16">
              <a:extLst>
                <a:ext uri="{FF2B5EF4-FFF2-40B4-BE49-F238E27FC236}">
                  <a16:creationId xmlns:a16="http://schemas.microsoft.com/office/drawing/2014/main" id="{00000000-0008-0000-2200-000007000000}"/>
                </a:ext>
              </a:extLst>
            </xdr:cNvPr>
            <xdr:cNvSpPr txBox="1"/>
          </xdr:nvSpPr>
          <xdr:spPr>
            <a:xfrm>
              <a:off x="4819650" y="190500"/>
              <a:ext cx="4095750" cy="1025730"/>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de-DE" sz="3200" b="0" i="1">
                        <a:latin typeface="Cambria Math"/>
                      </a:rPr>
                      <m:t>𝑀𝐿𝑆𝑆</m:t>
                    </m:r>
                    <m:r>
                      <a:rPr lang="de-DE" sz="3200" b="0" i="1">
                        <a:latin typeface="Cambria Math"/>
                      </a:rPr>
                      <m:t> = </m:t>
                    </m:r>
                    <m:f>
                      <m:fPr>
                        <m:ctrlPr>
                          <a:rPr lang="de-DE" sz="3200" b="0" i="1">
                            <a:latin typeface="Cambria Math" panose="02040503050406030204" pitchFamily="18" charset="0"/>
                          </a:rPr>
                        </m:ctrlPr>
                      </m:fPr>
                      <m:num>
                        <m:r>
                          <a:rPr lang="de-DE" sz="3200" b="0" i="1">
                            <a:latin typeface="Cambria Math"/>
                          </a:rPr>
                          <m:t>𝑅𝑅</m:t>
                        </m:r>
                        <m:r>
                          <a:rPr lang="de-DE" sz="3200" b="0" i="1">
                            <a:latin typeface="Cambria Math"/>
                          </a:rPr>
                          <m:t> ∗ </m:t>
                        </m:r>
                        <m:sSub>
                          <m:sSubPr>
                            <m:ctrlPr>
                              <a:rPr lang="de-DE" sz="3200" b="0" i="1">
                                <a:latin typeface="Cambria Math" panose="02040503050406030204" pitchFamily="18" charset="0"/>
                              </a:rPr>
                            </m:ctrlPr>
                          </m:sSubPr>
                          <m:e>
                            <m:r>
                              <a:rPr lang="de-DE" sz="3200" b="0" i="1">
                                <a:latin typeface="Cambria Math"/>
                              </a:rPr>
                              <m:t>𝑇𝑆</m:t>
                            </m:r>
                          </m:e>
                          <m:sub>
                            <m:r>
                              <a:rPr lang="de-DE" sz="3200" b="0" i="1">
                                <a:latin typeface="Cambria Math"/>
                              </a:rPr>
                              <m:t>𝑅𝐴𝑆</m:t>
                            </m:r>
                          </m:sub>
                        </m:sSub>
                      </m:num>
                      <m:den>
                        <m:r>
                          <a:rPr lang="de-DE" sz="3200" b="0" i="1">
                            <a:latin typeface="Cambria Math"/>
                          </a:rPr>
                          <m:t>1+</m:t>
                        </m:r>
                        <m:r>
                          <a:rPr lang="de-DE" sz="3200" b="0" i="1">
                            <a:latin typeface="Cambria Math"/>
                          </a:rPr>
                          <m:t>𝑅𝑅</m:t>
                        </m:r>
                      </m:den>
                    </m:f>
                  </m:oMath>
                </m:oMathPara>
              </a14:m>
              <a:endParaRPr lang="de-DE"/>
            </a:p>
          </xdr:txBody>
        </xdr:sp>
      </mc:Choice>
      <mc:Fallback xmlns="">
        <xdr:sp macro="" textlink="">
          <xdr:nvSpPr>
            <xdr:cNvPr id="7" name="Textfeld 16"/>
            <xdr:cNvSpPr txBox="1"/>
          </xdr:nvSpPr>
          <xdr:spPr>
            <a:xfrm>
              <a:off x="4819650" y="190500"/>
              <a:ext cx="4095750" cy="1025730"/>
            </a:xfrm>
            <a:prstGeom prst="rect">
              <a:avLst/>
            </a:prstGeom>
            <a:solidFill>
              <a:srgbClr val="D5FFD5"/>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3200" b="0" i="0">
                  <a:latin typeface="Cambria Math"/>
                </a:rPr>
                <a:t>𝑀𝐿𝑆𝑆 =  (𝑅𝑅 ∗ 〖𝑇𝑆〗_𝑅𝐴𝑆)/(1+𝑅𝑅)</a:t>
              </a:r>
              <a:endParaRPr lang="de-DE"/>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507535</xdr:colOff>
      <xdr:row>6</xdr:row>
      <xdr:rowOff>36034</xdr:rowOff>
    </xdr:to>
    <mc:AlternateContent xmlns:mc="http://schemas.openxmlformats.org/markup-compatibility/2006" xmlns:a14="http://schemas.microsoft.com/office/drawing/2010/main">
      <mc:Choice Requires="a14">
        <xdr:sp macro="" textlink="">
          <xdr:nvSpPr>
            <xdr:cNvPr id="2" name="Textfeld 35">
              <a:extLst>
                <a:ext uri="{FF2B5EF4-FFF2-40B4-BE49-F238E27FC236}">
                  <a16:creationId xmlns:a16="http://schemas.microsoft.com/office/drawing/2014/main" id="{00000000-0008-0000-2400-000002000000}"/>
                </a:ext>
              </a:extLst>
            </xdr:cNvPr>
            <xdr:cNvSpPr txBox="1"/>
          </xdr:nvSpPr>
          <xdr:spPr>
            <a:xfrm>
              <a:off x="0" y="0"/>
              <a:ext cx="5841535" cy="1007584"/>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de-DE" sz="2800" b="0" i="1">
                        <a:latin typeface="Cambria Math"/>
                      </a:rPr>
                      <m:t>𝐷𝑅</m:t>
                    </m:r>
                    <m:r>
                      <a:rPr lang="en-GB" sz="2800" b="0" i="1">
                        <a:latin typeface="Cambria Math"/>
                      </a:rPr>
                      <m:t> = </m:t>
                    </m:r>
                    <m:f>
                      <m:fPr>
                        <m:ctrlPr>
                          <a:rPr lang="en-GB" sz="2800" b="0" i="1">
                            <a:latin typeface="Cambria Math" panose="02040503050406030204" pitchFamily="18" charset="0"/>
                          </a:rPr>
                        </m:ctrlPr>
                      </m:fPr>
                      <m:num>
                        <m:sSub>
                          <m:sSubPr>
                            <m:ctrlPr>
                              <a:rPr lang="en-GB" sz="2800" b="0" i="1">
                                <a:latin typeface="Cambria Math" panose="02040503050406030204" pitchFamily="18" charset="0"/>
                              </a:rPr>
                            </m:ctrlPr>
                          </m:sSubPr>
                          <m:e>
                            <m:r>
                              <a:rPr lang="en-GB" sz="2800" b="0" i="1">
                                <a:latin typeface="Cambria Math"/>
                              </a:rPr>
                              <m:t>𝑆</m:t>
                            </m:r>
                          </m:e>
                          <m:sub>
                            <m:r>
                              <a:rPr lang="en-GB" sz="2800" b="0" i="1">
                                <a:latin typeface="Cambria Math"/>
                              </a:rPr>
                              <m:t>𝑁𝐻</m:t>
                            </m:r>
                            <m:r>
                              <a:rPr lang="en-GB" sz="2800" b="0" i="1">
                                <a:latin typeface="Cambria Math"/>
                              </a:rPr>
                              <m:t>4,</m:t>
                            </m:r>
                            <m:r>
                              <a:rPr lang="de-DE" sz="2800" b="0" i="1">
                                <a:latin typeface="Cambria Math"/>
                              </a:rPr>
                              <m:t>𝐼𝑛</m:t>
                            </m:r>
                          </m:sub>
                        </m:sSub>
                      </m:num>
                      <m:den>
                        <m:sSub>
                          <m:sSubPr>
                            <m:ctrlPr>
                              <a:rPr lang="en-GB" sz="2800" b="0" i="1">
                                <a:latin typeface="Cambria Math" panose="02040503050406030204" pitchFamily="18" charset="0"/>
                              </a:rPr>
                            </m:ctrlPr>
                          </m:sSubPr>
                          <m:e>
                            <m:r>
                              <a:rPr lang="en-GB" sz="2800" b="0" i="1">
                                <a:latin typeface="Cambria Math"/>
                              </a:rPr>
                              <m:t>𝑆</m:t>
                            </m:r>
                          </m:e>
                          <m:sub>
                            <m:r>
                              <a:rPr lang="en-GB" sz="2800" b="0" i="1">
                                <a:latin typeface="Cambria Math"/>
                              </a:rPr>
                              <m:t>𝑁𝑂</m:t>
                            </m:r>
                            <m:r>
                              <a:rPr lang="en-GB" sz="2800" b="0" i="1">
                                <a:latin typeface="Cambria Math"/>
                              </a:rPr>
                              <m:t>3,</m:t>
                            </m:r>
                            <m:r>
                              <a:rPr lang="de-DE" sz="2800" b="0" i="1">
                                <a:latin typeface="Cambria Math"/>
                              </a:rPr>
                              <m:t>𝑂𝑢𝑡</m:t>
                            </m:r>
                          </m:sub>
                        </m:sSub>
                      </m:den>
                    </m:f>
                    <m:r>
                      <a:rPr lang="en-GB" sz="2800" b="0" i="1">
                        <a:latin typeface="Cambria Math"/>
                      </a:rPr>
                      <m:t> −1= </m:t>
                    </m:r>
                    <m:f>
                      <m:fPr>
                        <m:ctrlPr>
                          <a:rPr lang="en-GB" sz="2800" b="0" i="1">
                            <a:latin typeface="Cambria Math" panose="02040503050406030204" pitchFamily="18" charset="0"/>
                          </a:rPr>
                        </m:ctrlPr>
                      </m:fPr>
                      <m:num>
                        <m:sSub>
                          <m:sSubPr>
                            <m:ctrlPr>
                              <a:rPr lang="en-GB" sz="2800" b="0" i="1">
                                <a:latin typeface="Cambria Math" panose="02040503050406030204" pitchFamily="18" charset="0"/>
                              </a:rPr>
                            </m:ctrlPr>
                          </m:sSubPr>
                          <m:e>
                            <m:r>
                              <a:rPr lang="en-GB" sz="2800" b="0" i="1">
                                <a:latin typeface="Cambria Math"/>
                              </a:rPr>
                              <m:t>𝑄</m:t>
                            </m:r>
                          </m:e>
                          <m:sub>
                            <m:r>
                              <a:rPr lang="en-GB" sz="2800" b="0" i="1">
                                <a:latin typeface="Cambria Math"/>
                              </a:rPr>
                              <m:t>𝑅</m:t>
                            </m:r>
                            <m:r>
                              <a:rPr lang="de-DE" sz="2800" b="0" i="1">
                                <a:latin typeface="Cambria Math"/>
                              </a:rPr>
                              <m:t>𝐴</m:t>
                            </m:r>
                            <m:r>
                              <a:rPr lang="en-GB" sz="2800" b="0" i="1">
                                <a:latin typeface="Cambria Math"/>
                              </a:rPr>
                              <m:t>𝑆</m:t>
                            </m:r>
                          </m:sub>
                        </m:sSub>
                      </m:num>
                      <m:den>
                        <m:sSub>
                          <m:sSubPr>
                            <m:ctrlPr>
                              <a:rPr lang="en-GB" sz="2800" b="0" i="1">
                                <a:latin typeface="Cambria Math" panose="02040503050406030204" pitchFamily="18" charset="0"/>
                              </a:rPr>
                            </m:ctrlPr>
                          </m:sSubPr>
                          <m:e>
                            <m:r>
                              <a:rPr lang="en-GB" sz="2800" b="0" i="1">
                                <a:latin typeface="Cambria Math"/>
                              </a:rPr>
                              <m:t>𝑄</m:t>
                            </m:r>
                          </m:e>
                          <m:sub>
                            <m:r>
                              <a:rPr lang="en-GB" sz="2800" b="0" i="1">
                                <a:latin typeface="Cambria Math"/>
                              </a:rPr>
                              <m:t>𝑡</m:t>
                            </m:r>
                          </m:sub>
                        </m:sSub>
                      </m:den>
                    </m:f>
                    <m:r>
                      <a:rPr lang="en-GB" sz="2800" b="0" i="1">
                        <a:latin typeface="Cambria Math"/>
                      </a:rPr>
                      <m:t>+ </m:t>
                    </m:r>
                    <m:f>
                      <m:fPr>
                        <m:ctrlPr>
                          <a:rPr lang="en-GB" sz="2800" b="0" i="1">
                            <a:latin typeface="Cambria Math" panose="02040503050406030204" pitchFamily="18" charset="0"/>
                          </a:rPr>
                        </m:ctrlPr>
                      </m:fPr>
                      <m:num>
                        <m:sSub>
                          <m:sSubPr>
                            <m:ctrlPr>
                              <a:rPr lang="en-GB" sz="2800" b="0" i="1">
                                <a:latin typeface="Cambria Math" panose="02040503050406030204" pitchFamily="18" charset="0"/>
                              </a:rPr>
                            </m:ctrlPr>
                          </m:sSubPr>
                          <m:e>
                            <m:r>
                              <a:rPr lang="en-GB" sz="2800" b="0" i="1">
                                <a:latin typeface="Cambria Math"/>
                              </a:rPr>
                              <m:t>𝑄</m:t>
                            </m:r>
                          </m:e>
                          <m:sub>
                            <m:r>
                              <a:rPr lang="de-DE" sz="2800" b="0" i="1">
                                <a:latin typeface="Cambria Math"/>
                              </a:rPr>
                              <m:t>𝐼</m:t>
                            </m:r>
                            <m:r>
                              <a:rPr lang="en-GB" sz="2800" b="0" i="1">
                                <a:latin typeface="Cambria Math"/>
                              </a:rPr>
                              <m:t>𝑅</m:t>
                            </m:r>
                            <m:r>
                              <a:rPr lang="de-DE" sz="2800" b="0" i="1">
                                <a:latin typeface="Cambria Math"/>
                              </a:rPr>
                              <m:t>𝐷</m:t>
                            </m:r>
                          </m:sub>
                        </m:sSub>
                      </m:num>
                      <m:den>
                        <m:sSub>
                          <m:sSubPr>
                            <m:ctrlPr>
                              <a:rPr lang="en-GB" sz="2800" b="0" i="1">
                                <a:latin typeface="Cambria Math" panose="02040503050406030204" pitchFamily="18" charset="0"/>
                              </a:rPr>
                            </m:ctrlPr>
                          </m:sSubPr>
                          <m:e>
                            <m:r>
                              <a:rPr lang="en-GB" sz="2800" b="0" i="1">
                                <a:latin typeface="Cambria Math"/>
                              </a:rPr>
                              <m:t>𝑄</m:t>
                            </m:r>
                          </m:e>
                          <m:sub>
                            <m:r>
                              <a:rPr lang="en-GB" sz="2800" b="0" i="1">
                                <a:latin typeface="Cambria Math"/>
                              </a:rPr>
                              <m:t>𝑡</m:t>
                            </m:r>
                          </m:sub>
                        </m:sSub>
                      </m:den>
                    </m:f>
                  </m:oMath>
                </m:oMathPara>
              </a14:m>
              <a:endParaRPr lang="en-GB" sz="1600"/>
            </a:p>
          </xdr:txBody>
        </xdr:sp>
      </mc:Choice>
      <mc:Fallback xmlns="">
        <xdr:sp macro="" textlink="">
          <xdr:nvSpPr>
            <xdr:cNvPr id="2" name="Textfeld 35"/>
            <xdr:cNvSpPr txBox="1"/>
          </xdr:nvSpPr>
          <xdr:spPr>
            <a:xfrm>
              <a:off x="0" y="0"/>
              <a:ext cx="5841535" cy="1007584"/>
            </a:xfrm>
            <a:prstGeom prst="rect">
              <a:avLst/>
            </a:prstGeom>
            <a:solidFill>
              <a:srgbClr val="FFFF00"/>
            </a:solidFill>
            <a:ln>
              <a:solidFill>
                <a:schemeClr val="tx1"/>
              </a:solidFill>
            </a:ln>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de-DE" sz="2800" b="0" i="0">
                  <a:latin typeface="Cambria Math"/>
                </a:rPr>
                <a:t>𝐷𝑅</a:t>
              </a:r>
              <a:r>
                <a:rPr lang="en-GB" sz="2800" b="0" i="0">
                  <a:latin typeface="Cambria Math"/>
                </a:rPr>
                <a:t> =  𝑆_(𝑁𝐻4,</a:t>
              </a:r>
              <a:r>
                <a:rPr lang="de-DE" sz="2800" b="0" i="0">
                  <a:latin typeface="Cambria Math"/>
                </a:rPr>
                <a:t>𝐼𝑛</a:t>
              </a:r>
              <a:r>
                <a:rPr lang="en-GB" sz="2800" b="0" i="0">
                  <a:latin typeface="Cambria Math"/>
                </a:rPr>
                <a:t>)/𝑆_(𝑁𝑂3,</a:t>
              </a:r>
              <a:r>
                <a:rPr lang="de-DE" sz="2800" b="0" i="0">
                  <a:latin typeface="Cambria Math"/>
                </a:rPr>
                <a:t>𝑂𝑢𝑡</a:t>
              </a:r>
              <a:r>
                <a:rPr lang="en-GB" sz="2800" b="0" i="0">
                  <a:latin typeface="Cambria Math"/>
                </a:rPr>
                <a:t>)</a:t>
              </a:r>
              <a:r>
                <a:rPr lang="de-DE" sz="2800" b="0" i="0">
                  <a:latin typeface="Cambria Math"/>
                </a:rPr>
                <a:t> </a:t>
              </a:r>
              <a:r>
                <a:rPr lang="en-GB" sz="2800" b="0" i="0">
                  <a:latin typeface="Cambria Math"/>
                </a:rPr>
                <a:t>  −1=  𝑄_𝑅</a:t>
              </a:r>
              <a:r>
                <a:rPr lang="de-DE" sz="2800" b="0" i="0">
                  <a:latin typeface="Cambria Math"/>
                </a:rPr>
                <a:t>𝐴</a:t>
              </a:r>
              <a:r>
                <a:rPr lang="en-GB" sz="2800" b="0" i="0">
                  <a:latin typeface="Cambria Math"/>
                </a:rPr>
                <a:t>𝑆/𝑄_𝑡 +  𝑄_</a:t>
              </a:r>
              <a:r>
                <a:rPr lang="de-DE" sz="2800" b="0" i="0">
                  <a:latin typeface="Cambria Math"/>
                </a:rPr>
                <a:t>𝐼</a:t>
              </a:r>
              <a:r>
                <a:rPr lang="en-GB" sz="2800" b="0" i="0">
                  <a:latin typeface="Cambria Math"/>
                </a:rPr>
                <a:t>𝑅</a:t>
              </a:r>
              <a:r>
                <a:rPr lang="de-DE" sz="2800" b="0" i="0">
                  <a:latin typeface="Cambria Math"/>
                </a:rPr>
                <a:t>𝐷</a:t>
              </a:r>
              <a:r>
                <a:rPr lang="en-GB" sz="2800" b="0" i="0">
                  <a:latin typeface="Cambria Math"/>
                </a:rPr>
                <a:t>/𝑄_𝑡 </a:t>
              </a:r>
              <a:endParaRPr lang="en-GB" sz="16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571500</xdr:colOff>
      <xdr:row>3</xdr:row>
      <xdr:rowOff>9525</xdr:rowOff>
    </xdr:from>
    <xdr:to>
      <xdr:col>4</xdr:col>
      <xdr:colOff>523875</xdr:colOff>
      <xdr:row>5</xdr:row>
      <xdr:rowOff>238125</xdr:rowOff>
    </xdr:to>
    <xdr:cxnSp macro="">
      <xdr:nvCxnSpPr>
        <xdr:cNvPr id="2" name="Gerade Verbindung mit Pfeil 1">
          <a:extLst>
            <a:ext uri="{FF2B5EF4-FFF2-40B4-BE49-F238E27FC236}">
              <a16:creationId xmlns:a16="http://schemas.microsoft.com/office/drawing/2014/main" id="{3FD8A8A5-45CA-4F76-8ADF-1B8E7831901A}"/>
            </a:ext>
          </a:extLst>
        </xdr:cNvPr>
        <xdr:cNvCxnSpPr/>
      </xdr:nvCxnSpPr>
      <xdr:spPr>
        <a:xfrm flipH="1">
          <a:off x="2381250" y="1200150"/>
          <a:ext cx="2047875"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533401</xdr:colOff>
      <xdr:row>3</xdr:row>
      <xdr:rowOff>0</xdr:rowOff>
    </xdr:from>
    <xdr:to>
      <xdr:col>6</xdr:col>
      <xdr:colOff>581025</xdr:colOff>
      <xdr:row>5</xdr:row>
      <xdr:rowOff>238125</xdr:rowOff>
    </xdr:to>
    <xdr:cxnSp macro="">
      <xdr:nvCxnSpPr>
        <xdr:cNvPr id="3" name="Gerade Verbindung mit Pfeil 2">
          <a:extLst>
            <a:ext uri="{FF2B5EF4-FFF2-40B4-BE49-F238E27FC236}">
              <a16:creationId xmlns:a16="http://schemas.microsoft.com/office/drawing/2014/main" id="{0071554D-BFAB-44B3-8035-5C358C0BF65A}"/>
            </a:ext>
          </a:extLst>
        </xdr:cNvPr>
        <xdr:cNvCxnSpPr/>
      </xdr:nvCxnSpPr>
      <xdr:spPr>
        <a:xfrm>
          <a:off x="4438651" y="1190625"/>
          <a:ext cx="2143124" cy="733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8</xdr:row>
      <xdr:rowOff>28575</xdr:rowOff>
    </xdr:from>
    <xdr:to>
      <xdr:col>2</xdr:col>
      <xdr:colOff>466727</xdr:colOff>
      <xdr:row>10</xdr:row>
      <xdr:rowOff>9525</xdr:rowOff>
    </xdr:to>
    <xdr:cxnSp macro="">
      <xdr:nvCxnSpPr>
        <xdr:cNvPr id="4" name="Gerade Verbindung mit Pfeil 3">
          <a:extLst>
            <a:ext uri="{FF2B5EF4-FFF2-40B4-BE49-F238E27FC236}">
              <a16:creationId xmlns:a16="http://schemas.microsoft.com/office/drawing/2014/main" id="{5926A32E-4F88-4FC8-B508-F8FB5A9D51DF}"/>
            </a:ext>
          </a:extLst>
        </xdr:cNvPr>
        <xdr:cNvCxnSpPr/>
      </xdr:nvCxnSpPr>
      <xdr:spPr>
        <a:xfrm flipH="1">
          <a:off x="1295400" y="2752725"/>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476251</xdr:colOff>
      <xdr:row>8</xdr:row>
      <xdr:rowOff>19050</xdr:rowOff>
    </xdr:from>
    <xdr:to>
      <xdr:col>3</xdr:col>
      <xdr:colOff>457200</xdr:colOff>
      <xdr:row>10</xdr:row>
      <xdr:rowOff>9525</xdr:rowOff>
    </xdr:to>
    <xdr:cxnSp macro="">
      <xdr:nvCxnSpPr>
        <xdr:cNvPr id="5" name="Gerade Verbindung mit Pfeil 4">
          <a:extLst>
            <a:ext uri="{FF2B5EF4-FFF2-40B4-BE49-F238E27FC236}">
              <a16:creationId xmlns:a16="http://schemas.microsoft.com/office/drawing/2014/main" id="{98C49269-1938-44D1-B75C-BB6637CE2531}"/>
            </a:ext>
          </a:extLst>
        </xdr:cNvPr>
        <xdr:cNvCxnSpPr/>
      </xdr:nvCxnSpPr>
      <xdr:spPr>
        <a:xfrm>
          <a:off x="2286001" y="2743200"/>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8</xdr:row>
      <xdr:rowOff>19050</xdr:rowOff>
    </xdr:from>
    <xdr:to>
      <xdr:col>6</xdr:col>
      <xdr:colOff>514352</xdr:colOff>
      <xdr:row>10</xdr:row>
      <xdr:rowOff>0</xdr:rowOff>
    </xdr:to>
    <xdr:cxnSp macro="">
      <xdr:nvCxnSpPr>
        <xdr:cNvPr id="6" name="Gerade Verbindung mit Pfeil 5">
          <a:extLst>
            <a:ext uri="{FF2B5EF4-FFF2-40B4-BE49-F238E27FC236}">
              <a16:creationId xmlns:a16="http://schemas.microsoft.com/office/drawing/2014/main" id="{72231927-AA48-4143-8625-BA25DB238BB2}"/>
            </a:ext>
          </a:extLst>
        </xdr:cNvPr>
        <xdr:cNvCxnSpPr/>
      </xdr:nvCxnSpPr>
      <xdr:spPr>
        <a:xfrm flipH="1">
          <a:off x="5534025" y="2743200"/>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523876</xdr:colOff>
      <xdr:row>8</xdr:row>
      <xdr:rowOff>9525</xdr:rowOff>
    </xdr:from>
    <xdr:to>
      <xdr:col>7</xdr:col>
      <xdr:colOff>504825</xdr:colOff>
      <xdr:row>10</xdr:row>
      <xdr:rowOff>0</xdr:rowOff>
    </xdr:to>
    <xdr:cxnSp macro="">
      <xdr:nvCxnSpPr>
        <xdr:cNvPr id="7" name="Gerade Verbindung mit Pfeil 6">
          <a:extLst>
            <a:ext uri="{FF2B5EF4-FFF2-40B4-BE49-F238E27FC236}">
              <a16:creationId xmlns:a16="http://schemas.microsoft.com/office/drawing/2014/main" id="{2D5E8349-8A76-4C8D-A72E-8242DB0E5BF6}"/>
            </a:ext>
          </a:extLst>
        </xdr:cNvPr>
        <xdr:cNvCxnSpPr/>
      </xdr:nvCxnSpPr>
      <xdr:spPr>
        <a:xfrm>
          <a:off x="6524626" y="2733675"/>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409575</xdr:colOff>
      <xdr:row>3</xdr:row>
      <xdr:rowOff>9525</xdr:rowOff>
    </xdr:from>
    <xdr:to>
      <xdr:col>10</xdr:col>
      <xdr:colOff>381003</xdr:colOff>
      <xdr:row>5</xdr:row>
      <xdr:rowOff>238125</xdr:rowOff>
    </xdr:to>
    <xdr:cxnSp macro="">
      <xdr:nvCxnSpPr>
        <xdr:cNvPr id="8" name="Gerade Verbindung mit Pfeil 7">
          <a:extLst>
            <a:ext uri="{FF2B5EF4-FFF2-40B4-BE49-F238E27FC236}">
              <a16:creationId xmlns:a16="http://schemas.microsoft.com/office/drawing/2014/main" id="{F830DC0A-85DD-4FB5-82DD-9B07E8869198}"/>
            </a:ext>
          </a:extLst>
        </xdr:cNvPr>
        <xdr:cNvCxnSpPr/>
      </xdr:nvCxnSpPr>
      <xdr:spPr>
        <a:xfrm flipH="1">
          <a:off x="9553575" y="1200150"/>
          <a:ext cx="1019178"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390526</xdr:colOff>
      <xdr:row>3</xdr:row>
      <xdr:rowOff>0</xdr:rowOff>
    </xdr:from>
    <xdr:to>
      <xdr:col>11</xdr:col>
      <xdr:colOff>371475</xdr:colOff>
      <xdr:row>6</xdr:row>
      <xdr:rowOff>9525</xdr:rowOff>
    </xdr:to>
    <xdr:cxnSp macro="">
      <xdr:nvCxnSpPr>
        <xdr:cNvPr id="9" name="Gerade Verbindung mit Pfeil 8">
          <a:extLst>
            <a:ext uri="{FF2B5EF4-FFF2-40B4-BE49-F238E27FC236}">
              <a16:creationId xmlns:a16="http://schemas.microsoft.com/office/drawing/2014/main" id="{5BF11F4C-CDF5-48C7-BEA0-F801FE99C230}"/>
            </a:ext>
          </a:extLst>
        </xdr:cNvPr>
        <xdr:cNvCxnSpPr/>
      </xdr:nvCxnSpPr>
      <xdr:spPr>
        <a:xfrm>
          <a:off x="10582276" y="1190625"/>
          <a:ext cx="1028699" cy="7524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7</xdr:row>
      <xdr:rowOff>133350</xdr:rowOff>
    </xdr:from>
    <xdr:to>
      <xdr:col>8</xdr:col>
      <xdr:colOff>1000125</xdr:colOff>
      <xdr:row>7</xdr:row>
      <xdr:rowOff>142875</xdr:rowOff>
    </xdr:to>
    <xdr:cxnSp macro="">
      <xdr:nvCxnSpPr>
        <xdr:cNvPr id="10" name="Gerade Verbindung mit Pfeil 9">
          <a:extLst>
            <a:ext uri="{FF2B5EF4-FFF2-40B4-BE49-F238E27FC236}">
              <a16:creationId xmlns:a16="http://schemas.microsoft.com/office/drawing/2014/main" id="{3775E5CF-23D6-441F-A08D-732F5D82D19F}"/>
            </a:ext>
          </a:extLst>
        </xdr:cNvPr>
        <xdr:cNvCxnSpPr/>
      </xdr:nvCxnSpPr>
      <xdr:spPr>
        <a:xfrm>
          <a:off x="7115175" y="2609850"/>
          <a:ext cx="1981200" cy="9525"/>
        </a:xfrm>
        <a:prstGeom prst="straightConnector1">
          <a:avLst/>
        </a:prstGeom>
        <a:ln w="15875">
          <a:solidFill>
            <a:srgbClr val="FF0000"/>
          </a:solidFill>
          <a:prstDash val="dash"/>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21</xdr:row>
      <xdr:rowOff>9525</xdr:rowOff>
    </xdr:from>
    <xdr:to>
      <xdr:col>4</xdr:col>
      <xdr:colOff>523875</xdr:colOff>
      <xdr:row>23</xdr:row>
      <xdr:rowOff>238125</xdr:rowOff>
    </xdr:to>
    <xdr:cxnSp macro="">
      <xdr:nvCxnSpPr>
        <xdr:cNvPr id="11" name="Gerade Verbindung mit Pfeil 10">
          <a:extLst>
            <a:ext uri="{FF2B5EF4-FFF2-40B4-BE49-F238E27FC236}">
              <a16:creationId xmlns:a16="http://schemas.microsoft.com/office/drawing/2014/main" id="{D6251173-AD14-4E6E-9A03-F90045E58628}"/>
            </a:ext>
          </a:extLst>
        </xdr:cNvPr>
        <xdr:cNvCxnSpPr/>
      </xdr:nvCxnSpPr>
      <xdr:spPr>
        <a:xfrm flipH="1">
          <a:off x="2381250" y="6248400"/>
          <a:ext cx="2047875"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533401</xdr:colOff>
      <xdr:row>21</xdr:row>
      <xdr:rowOff>0</xdr:rowOff>
    </xdr:from>
    <xdr:to>
      <xdr:col>6</xdr:col>
      <xdr:colOff>581025</xdr:colOff>
      <xdr:row>23</xdr:row>
      <xdr:rowOff>238125</xdr:rowOff>
    </xdr:to>
    <xdr:cxnSp macro="">
      <xdr:nvCxnSpPr>
        <xdr:cNvPr id="12" name="Gerade Verbindung mit Pfeil 11">
          <a:extLst>
            <a:ext uri="{FF2B5EF4-FFF2-40B4-BE49-F238E27FC236}">
              <a16:creationId xmlns:a16="http://schemas.microsoft.com/office/drawing/2014/main" id="{8AFED6DE-107E-4386-BA5B-E65252D0F569}"/>
            </a:ext>
          </a:extLst>
        </xdr:cNvPr>
        <xdr:cNvCxnSpPr/>
      </xdr:nvCxnSpPr>
      <xdr:spPr>
        <a:xfrm>
          <a:off x="4438651" y="6238875"/>
          <a:ext cx="2143124" cy="733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27</xdr:row>
      <xdr:rowOff>28575</xdr:rowOff>
    </xdr:from>
    <xdr:to>
      <xdr:col>2</xdr:col>
      <xdr:colOff>466727</xdr:colOff>
      <xdr:row>29</xdr:row>
      <xdr:rowOff>9525</xdr:rowOff>
    </xdr:to>
    <xdr:cxnSp macro="">
      <xdr:nvCxnSpPr>
        <xdr:cNvPr id="13" name="Gerade Verbindung mit Pfeil 12">
          <a:extLst>
            <a:ext uri="{FF2B5EF4-FFF2-40B4-BE49-F238E27FC236}">
              <a16:creationId xmlns:a16="http://schemas.microsoft.com/office/drawing/2014/main" id="{2530936B-6C19-4CF6-B177-16CC7B713EFD}"/>
            </a:ext>
          </a:extLst>
        </xdr:cNvPr>
        <xdr:cNvCxnSpPr/>
      </xdr:nvCxnSpPr>
      <xdr:spPr>
        <a:xfrm flipH="1">
          <a:off x="1295400" y="7753350"/>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476251</xdr:colOff>
      <xdr:row>27</xdr:row>
      <xdr:rowOff>19050</xdr:rowOff>
    </xdr:from>
    <xdr:to>
      <xdr:col>3</xdr:col>
      <xdr:colOff>457200</xdr:colOff>
      <xdr:row>29</xdr:row>
      <xdr:rowOff>9525</xdr:rowOff>
    </xdr:to>
    <xdr:cxnSp macro="">
      <xdr:nvCxnSpPr>
        <xdr:cNvPr id="14" name="Gerade Verbindung mit Pfeil 13">
          <a:extLst>
            <a:ext uri="{FF2B5EF4-FFF2-40B4-BE49-F238E27FC236}">
              <a16:creationId xmlns:a16="http://schemas.microsoft.com/office/drawing/2014/main" id="{2D71A897-A0D4-4B55-9BD7-30C588293D19}"/>
            </a:ext>
          </a:extLst>
        </xdr:cNvPr>
        <xdr:cNvCxnSpPr/>
      </xdr:nvCxnSpPr>
      <xdr:spPr>
        <a:xfrm>
          <a:off x="2286001" y="7743825"/>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27</xdr:row>
      <xdr:rowOff>19050</xdr:rowOff>
    </xdr:from>
    <xdr:to>
      <xdr:col>6</xdr:col>
      <xdr:colOff>514352</xdr:colOff>
      <xdr:row>29</xdr:row>
      <xdr:rowOff>0</xdr:rowOff>
    </xdr:to>
    <xdr:cxnSp macro="">
      <xdr:nvCxnSpPr>
        <xdr:cNvPr id="15" name="Gerade Verbindung mit Pfeil 14">
          <a:extLst>
            <a:ext uri="{FF2B5EF4-FFF2-40B4-BE49-F238E27FC236}">
              <a16:creationId xmlns:a16="http://schemas.microsoft.com/office/drawing/2014/main" id="{AA18CD3B-B91B-45DD-9FB8-65468F780166}"/>
            </a:ext>
          </a:extLst>
        </xdr:cNvPr>
        <xdr:cNvCxnSpPr/>
      </xdr:nvCxnSpPr>
      <xdr:spPr>
        <a:xfrm flipH="1">
          <a:off x="5534025" y="7743825"/>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523876</xdr:colOff>
      <xdr:row>27</xdr:row>
      <xdr:rowOff>9525</xdr:rowOff>
    </xdr:from>
    <xdr:to>
      <xdr:col>7</xdr:col>
      <xdr:colOff>504825</xdr:colOff>
      <xdr:row>29</xdr:row>
      <xdr:rowOff>0</xdr:rowOff>
    </xdr:to>
    <xdr:cxnSp macro="">
      <xdr:nvCxnSpPr>
        <xdr:cNvPr id="16" name="Gerade Verbindung mit Pfeil 15">
          <a:extLst>
            <a:ext uri="{FF2B5EF4-FFF2-40B4-BE49-F238E27FC236}">
              <a16:creationId xmlns:a16="http://schemas.microsoft.com/office/drawing/2014/main" id="{BF496F1E-DA71-49AA-B918-55B3C29A2507}"/>
            </a:ext>
          </a:extLst>
        </xdr:cNvPr>
        <xdr:cNvCxnSpPr/>
      </xdr:nvCxnSpPr>
      <xdr:spPr>
        <a:xfrm>
          <a:off x="6524626" y="7734300"/>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514350</xdr:colOff>
      <xdr:row>32</xdr:row>
      <xdr:rowOff>0</xdr:rowOff>
    </xdr:from>
    <xdr:to>
      <xdr:col>3</xdr:col>
      <xdr:colOff>485775</xdr:colOff>
      <xdr:row>35</xdr:row>
      <xdr:rowOff>238125</xdr:rowOff>
    </xdr:to>
    <xdr:cxnSp macro="">
      <xdr:nvCxnSpPr>
        <xdr:cNvPr id="17" name="Gerade Verbindung mit Pfeil 16">
          <a:extLst>
            <a:ext uri="{FF2B5EF4-FFF2-40B4-BE49-F238E27FC236}">
              <a16:creationId xmlns:a16="http://schemas.microsoft.com/office/drawing/2014/main" id="{26006BF0-324C-49CA-AB12-1042258B2778}"/>
            </a:ext>
          </a:extLst>
        </xdr:cNvPr>
        <xdr:cNvCxnSpPr/>
      </xdr:nvCxnSpPr>
      <xdr:spPr>
        <a:xfrm>
          <a:off x="1276350" y="9353550"/>
          <a:ext cx="2066925"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485775</xdr:colOff>
      <xdr:row>32</xdr:row>
      <xdr:rowOff>0</xdr:rowOff>
    </xdr:from>
    <xdr:to>
      <xdr:col>5</xdr:col>
      <xdr:colOff>561977</xdr:colOff>
      <xdr:row>35</xdr:row>
      <xdr:rowOff>228600</xdr:rowOff>
    </xdr:to>
    <xdr:cxnSp macro="">
      <xdr:nvCxnSpPr>
        <xdr:cNvPr id="18" name="Gerade Verbindung mit Pfeil 17">
          <a:extLst>
            <a:ext uri="{FF2B5EF4-FFF2-40B4-BE49-F238E27FC236}">
              <a16:creationId xmlns:a16="http://schemas.microsoft.com/office/drawing/2014/main" id="{106D1215-A10D-41D0-8C8B-A0C68426CE53}"/>
            </a:ext>
          </a:extLst>
        </xdr:cNvPr>
        <xdr:cNvCxnSpPr/>
      </xdr:nvCxnSpPr>
      <xdr:spPr>
        <a:xfrm flipH="1">
          <a:off x="3343275" y="9353550"/>
          <a:ext cx="2171702" cy="971550"/>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590550</xdr:colOff>
      <xdr:row>12</xdr:row>
      <xdr:rowOff>0</xdr:rowOff>
    </xdr:from>
    <xdr:to>
      <xdr:col>5</xdr:col>
      <xdr:colOff>533402</xdr:colOff>
      <xdr:row>15</xdr:row>
      <xdr:rowOff>238125</xdr:rowOff>
    </xdr:to>
    <xdr:cxnSp macro="">
      <xdr:nvCxnSpPr>
        <xdr:cNvPr id="19" name="Gerade Verbindung mit Pfeil 18">
          <a:extLst>
            <a:ext uri="{FF2B5EF4-FFF2-40B4-BE49-F238E27FC236}">
              <a16:creationId xmlns:a16="http://schemas.microsoft.com/office/drawing/2014/main" id="{6CBD5FEB-AB93-458E-8E30-CB0D326B3089}"/>
            </a:ext>
          </a:extLst>
        </xdr:cNvPr>
        <xdr:cNvCxnSpPr/>
      </xdr:nvCxnSpPr>
      <xdr:spPr>
        <a:xfrm flipH="1">
          <a:off x="3448050" y="4010025"/>
          <a:ext cx="2038352"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12</xdr:row>
      <xdr:rowOff>0</xdr:rowOff>
    </xdr:from>
    <xdr:to>
      <xdr:col>3</xdr:col>
      <xdr:colOff>571500</xdr:colOff>
      <xdr:row>15</xdr:row>
      <xdr:rowOff>238125</xdr:rowOff>
    </xdr:to>
    <xdr:cxnSp macro="">
      <xdr:nvCxnSpPr>
        <xdr:cNvPr id="20" name="Gerade Verbindung mit Pfeil 19">
          <a:extLst>
            <a:ext uri="{FF2B5EF4-FFF2-40B4-BE49-F238E27FC236}">
              <a16:creationId xmlns:a16="http://schemas.microsoft.com/office/drawing/2014/main" id="{C3E76193-5207-4815-B71E-6277CF3460A8}"/>
            </a:ext>
          </a:extLst>
        </xdr:cNvPr>
        <xdr:cNvCxnSpPr/>
      </xdr:nvCxnSpPr>
      <xdr:spPr>
        <a:xfrm>
          <a:off x="1247775" y="4010025"/>
          <a:ext cx="2181225"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619125</xdr:colOff>
      <xdr:row>2</xdr:row>
      <xdr:rowOff>238125</xdr:rowOff>
    </xdr:from>
    <xdr:to>
      <xdr:col>4</xdr:col>
      <xdr:colOff>542926</xdr:colOff>
      <xdr:row>9</xdr:row>
      <xdr:rowOff>238125</xdr:rowOff>
    </xdr:to>
    <xdr:cxnSp macro="">
      <xdr:nvCxnSpPr>
        <xdr:cNvPr id="21" name="Gerade Verbindung mit Pfeil 20">
          <a:extLst>
            <a:ext uri="{FF2B5EF4-FFF2-40B4-BE49-F238E27FC236}">
              <a16:creationId xmlns:a16="http://schemas.microsoft.com/office/drawing/2014/main" id="{F9BE6AB4-93CE-454F-A0D3-1C03EF01EEB9}"/>
            </a:ext>
          </a:extLst>
        </xdr:cNvPr>
        <xdr:cNvCxnSpPr/>
      </xdr:nvCxnSpPr>
      <xdr:spPr>
        <a:xfrm flipH="1">
          <a:off x="3476625" y="1181100"/>
          <a:ext cx="971551" cy="2028825"/>
        </a:xfrm>
        <a:prstGeom prst="straightConnector1">
          <a:avLst/>
        </a:prstGeom>
        <a:ln w="1905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114300</xdr:colOff>
      <xdr:row>25</xdr:row>
      <xdr:rowOff>85725</xdr:rowOff>
    </xdr:from>
    <xdr:ext cx="2610395" cy="596574"/>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DF3553DC-F424-4D12-9B22-1D64EAF715F4}"/>
                </a:ext>
              </a:extLst>
            </xdr:cNvPr>
            <xdr:cNvSpPr txBox="1"/>
          </xdr:nvSpPr>
          <xdr:spPr>
            <a:xfrm>
              <a:off x="4048125" y="11096625"/>
              <a:ext cx="2610395" cy="5965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𝐵𝑆𝐵</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𝐵𝑆𝐵</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2" name="Textfeld 1">
              <a:extLst>
                <a:ext uri="{FF2B5EF4-FFF2-40B4-BE49-F238E27FC236}">
                  <a16:creationId xmlns:a16="http://schemas.microsoft.com/office/drawing/2014/main" id="{DF3553DC-F424-4D12-9B22-1D64EAF715F4}"/>
                </a:ext>
              </a:extLst>
            </xdr:cNvPr>
            <xdr:cNvSpPr txBox="1"/>
          </xdr:nvSpPr>
          <xdr:spPr>
            <a:xfrm>
              <a:off x="4048125" y="11096625"/>
              <a:ext cx="2610395" cy="5965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a:t>
              </a:r>
              <a:r>
                <a:rPr lang="de-DE" sz="1600" b="0" i="0">
                  <a:latin typeface="Cambria Math" panose="02040503050406030204" pitchFamily="18" charset="0"/>
                </a:rPr>
                <a:t>_(</a:t>
              </a:r>
              <a:r>
                <a:rPr lang="de-DE" sz="1600" b="0" i="0">
                  <a:latin typeface="Cambria Math"/>
                </a:rPr>
                <a:t>𝐵𝑆𝐵.𝑍𝐵</a:t>
              </a:r>
              <a:r>
                <a:rPr lang="de-DE" sz="1600" b="0" i="0">
                  <a:latin typeface="Cambria Math" panose="02040503050406030204" pitchFamily="18" charset="0"/>
                </a:rPr>
                <a:t>)</a:t>
              </a:r>
              <a:r>
                <a:rPr lang="de-DE" sz="1600" b="0" i="0">
                  <a:latin typeface="Cambria Math"/>
                </a:rPr>
                <a:t>= </a:t>
              </a:r>
              <a:r>
                <a:rPr lang="de-DE" sz="1600" b="0" i="0">
                  <a:latin typeface="Cambria Math" panose="02040503050406030204" pitchFamily="18" charset="0"/>
                </a:rPr>
                <a:t> (</a:t>
              </a:r>
              <a:r>
                <a:rPr lang="de-DE" sz="1600" b="0" i="0">
                  <a:latin typeface="Cambria Math"/>
                </a:rPr>
                <a:t>𝐵</a:t>
              </a:r>
              <a:r>
                <a:rPr lang="de-DE" sz="1600" b="0" i="0">
                  <a:latin typeface="Cambria Math" panose="02040503050406030204" pitchFamily="18" charset="0"/>
                </a:rPr>
                <a:t>_(</a:t>
              </a:r>
              <a:r>
                <a:rPr lang="de-DE" sz="1600" b="0" i="0">
                  <a:latin typeface="Cambria Math"/>
                </a:rPr>
                <a:t>𝑑,𝐵𝑆𝐵,𝑍𝐵</a:t>
              </a:r>
              <a:r>
                <a:rPr lang="de-DE" sz="1600" b="0" i="0">
                  <a:latin typeface="Cambria Math" panose="02040503050406030204" pitchFamily="18" charset="0"/>
                </a:rPr>
                <a:t>)</a:t>
              </a:r>
              <a:r>
                <a:rPr lang="de-DE" sz="1600" b="0" i="0">
                  <a:latin typeface="Cambria Math"/>
                </a:rPr>
                <a:t>∗1000</a:t>
              </a:r>
              <a:r>
                <a:rPr lang="de-DE" sz="1600" b="0" i="0">
                  <a:latin typeface="Cambria Math" panose="02040503050406030204" pitchFamily="18" charset="0"/>
                </a:rPr>
                <a:t>)/</a:t>
              </a:r>
              <a:r>
                <a:rPr lang="de-DE" sz="1600" b="0" i="0">
                  <a:latin typeface="Cambria Math"/>
                </a:rPr>
                <a:t>𝑄</a:t>
              </a:r>
              <a:r>
                <a:rPr lang="de-DE" sz="1600" b="0" i="0">
                  <a:latin typeface="Cambria Math" panose="02040503050406030204" pitchFamily="18" charset="0"/>
                </a:rPr>
                <a:t>_</a:t>
              </a:r>
              <a:r>
                <a:rPr lang="de-DE" sz="1600" b="0" i="0">
                  <a:latin typeface="Cambria Math"/>
                </a:rPr>
                <a:t>𝑑</a:t>
              </a:r>
              <a:r>
                <a:rPr lang="de-DE" sz="1600" b="0" i="0">
                  <a:latin typeface="Cambria Math" panose="02040503050406030204" pitchFamily="18" charset="0"/>
                </a:rPr>
                <a:t> </a:t>
              </a:r>
              <a:endParaRPr lang="de-DE" sz="1600"/>
            </a:p>
          </xdr:txBody>
        </xdr:sp>
      </mc:Fallback>
    </mc:AlternateContent>
    <xdr:clientData/>
  </xdr:oneCellAnchor>
  <xdr:oneCellAnchor>
    <xdr:from>
      <xdr:col>3</xdr:col>
      <xdr:colOff>114300</xdr:colOff>
      <xdr:row>26</xdr:row>
      <xdr:rowOff>95250</xdr:rowOff>
    </xdr:from>
    <xdr:ext cx="2231188" cy="596510"/>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75D77B12-51C0-4BE5-9123-77E9C7AC8977}"/>
                </a:ext>
              </a:extLst>
            </xdr:cNvPr>
            <xdr:cNvSpPr txBox="1"/>
          </xdr:nvSpPr>
          <xdr:spPr>
            <a:xfrm>
              <a:off x="4048125" y="11868150"/>
              <a:ext cx="223118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𝑃</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𝑃</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3" name="Textfeld 2">
              <a:extLst>
                <a:ext uri="{FF2B5EF4-FFF2-40B4-BE49-F238E27FC236}">
                  <a16:creationId xmlns:a16="http://schemas.microsoft.com/office/drawing/2014/main" id="{75D77B12-51C0-4BE5-9123-77E9C7AC8977}"/>
                </a:ext>
              </a:extLst>
            </xdr:cNvPr>
            <xdr:cNvSpPr txBox="1"/>
          </xdr:nvSpPr>
          <xdr:spPr>
            <a:xfrm>
              <a:off x="4048125" y="11868150"/>
              <a:ext cx="223118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a:t>
              </a:r>
              <a:r>
                <a:rPr lang="de-DE" sz="1600" b="0" i="0">
                  <a:latin typeface="Cambria Math" panose="02040503050406030204" pitchFamily="18" charset="0"/>
                </a:rPr>
                <a:t>_(</a:t>
              </a:r>
              <a:r>
                <a:rPr lang="de-DE" sz="1600" b="0" i="0">
                  <a:latin typeface="Cambria Math"/>
                </a:rPr>
                <a:t>𝑃.𝑍𝐵</a:t>
              </a:r>
              <a:r>
                <a:rPr lang="de-DE" sz="1600" b="0" i="0">
                  <a:latin typeface="Cambria Math" panose="02040503050406030204" pitchFamily="18" charset="0"/>
                </a:rPr>
                <a:t>)</a:t>
              </a:r>
              <a:r>
                <a:rPr lang="de-DE" sz="1600" b="0" i="0">
                  <a:latin typeface="Cambria Math"/>
                </a:rPr>
                <a:t>= </a:t>
              </a:r>
              <a:r>
                <a:rPr lang="de-DE" sz="1600" b="0" i="0">
                  <a:latin typeface="Cambria Math" panose="02040503050406030204" pitchFamily="18" charset="0"/>
                </a:rPr>
                <a:t> (</a:t>
              </a:r>
              <a:r>
                <a:rPr lang="de-DE" sz="1600" b="0" i="0">
                  <a:latin typeface="Cambria Math"/>
                </a:rPr>
                <a:t>𝐵</a:t>
              </a:r>
              <a:r>
                <a:rPr lang="de-DE" sz="1600" b="0" i="0">
                  <a:latin typeface="Cambria Math" panose="02040503050406030204" pitchFamily="18" charset="0"/>
                </a:rPr>
                <a:t>_(</a:t>
              </a:r>
              <a:r>
                <a:rPr lang="de-DE" sz="1600" b="0" i="0">
                  <a:latin typeface="Cambria Math"/>
                </a:rPr>
                <a:t>𝑑,𝑃,𝑍𝐵</a:t>
              </a:r>
              <a:r>
                <a:rPr lang="de-DE" sz="1600" b="0" i="0">
                  <a:latin typeface="Cambria Math" panose="02040503050406030204" pitchFamily="18" charset="0"/>
                </a:rPr>
                <a:t>)</a:t>
              </a:r>
              <a:r>
                <a:rPr lang="de-DE" sz="1600" b="0" i="0">
                  <a:latin typeface="Cambria Math"/>
                </a:rPr>
                <a:t>∗1000</a:t>
              </a:r>
              <a:r>
                <a:rPr lang="de-DE" sz="1600" b="0" i="0">
                  <a:latin typeface="Cambria Math" panose="02040503050406030204" pitchFamily="18" charset="0"/>
                </a:rPr>
                <a:t>)/</a:t>
              </a:r>
              <a:r>
                <a:rPr lang="de-DE" sz="1600" b="0" i="0">
                  <a:latin typeface="Cambria Math"/>
                </a:rPr>
                <a:t>𝑄</a:t>
              </a:r>
              <a:r>
                <a:rPr lang="de-DE" sz="1600" b="0" i="0">
                  <a:latin typeface="Cambria Math" panose="02040503050406030204" pitchFamily="18" charset="0"/>
                </a:rPr>
                <a:t>_</a:t>
              </a:r>
              <a:r>
                <a:rPr lang="de-DE" sz="1600" b="0" i="0">
                  <a:latin typeface="Cambria Math"/>
                </a:rPr>
                <a:t>𝑑</a:t>
              </a:r>
              <a:r>
                <a:rPr lang="de-DE" sz="1600" b="0" i="0">
                  <a:latin typeface="Cambria Math" panose="02040503050406030204" pitchFamily="18" charset="0"/>
                </a:rPr>
                <a:t> </a:t>
              </a:r>
              <a:endParaRPr lang="de-DE" sz="1600"/>
            </a:p>
          </xdr:txBody>
        </xdr:sp>
      </mc:Fallback>
    </mc:AlternateContent>
    <xdr:clientData/>
  </xdr:oneCellAnchor>
  <xdr:oneCellAnchor>
    <xdr:from>
      <xdr:col>3</xdr:col>
      <xdr:colOff>114300</xdr:colOff>
      <xdr:row>27</xdr:row>
      <xdr:rowOff>95250</xdr:rowOff>
    </xdr:from>
    <xdr:ext cx="2507097" cy="596510"/>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187C63D2-E83D-44C8-B534-8DEC35697901}"/>
                </a:ext>
              </a:extLst>
            </xdr:cNvPr>
            <xdr:cNvSpPr txBox="1"/>
          </xdr:nvSpPr>
          <xdr:spPr>
            <a:xfrm>
              <a:off x="4048125" y="12630150"/>
              <a:ext cx="2507097"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𝑋</m:t>
                        </m:r>
                      </m:e>
                      <m:sub>
                        <m:r>
                          <a:rPr lang="de-DE" sz="1600" b="0" i="1">
                            <a:latin typeface="Cambria Math"/>
                          </a:rPr>
                          <m:t>𝑇𝑆</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𝐴𝐹𝑆</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4" name="Textfeld 3">
              <a:extLst>
                <a:ext uri="{FF2B5EF4-FFF2-40B4-BE49-F238E27FC236}">
                  <a16:creationId xmlns:a16="http://schemas.microsoft.com/office/drawing/2014/main" id="{187C63D2-E83D-44C8-B534-8DEC35697901}"/>
                </a:ext>
              </a:extLst>
            </xdr:cNvPr>
            <xdr:cNvSpPr txBox="1"/>
          </xdr:nvSpPr>
          <xdr:spPr>
            <a:xfrm>
              <a:off x="4048125" y="12630150"/>
              <a:ext cx="2507097"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𝑋</a:t>
              </a:r>
              <a:r>
                <a:rPr lang="de-DE" sz="1600" b="0" i="0">
                  <a:latin typeface="Cambria Math" panose="02040503050406030204" pitchFamily="18" charset="0"/>
                </a:rPr>
                <a:t>_(</a:t>
              </a:r>
              <a:r>
                <a:rPr lang="de-DE" sz="1600" b="0" i="0">
                  <a:latin typeface="Cambria Math"/>
                </a:rPr>
                <a:t>𝑇𝑆.𝑍𝐵</a:t>
              </a:r>
              <a:r>
                <a:rPr lang="de-DE" sz="1600" b="0" i="0">
                  <a:latin typeface="Cambria Math" panose="02040503050406030204" pitchFamily="18" charset="0"/>
                </a:rPr>
                <a:t>)</a:t>
              </a:r>
              <a:r>
                <a:rPr lang="de-DE" sz="1600" b="0" i="0">
                  <a:latin typeface="Cambria Math"/>
                </a:rPr>
                <a:t>= </a:t>
              </a:r>
              <a:r>
                <a:rPr lang="de-DE" sz="1600" b="0" i="0">
                  <a:latin typeface="Cambria Math" panose="02040503050406030204" pitchFamily="18" charset="0"/>
                </a:rPr>
                <a:t> (</a:t>
              </a:r>
              <a:r>
                <a:rPr lang="de-DE" sz="1600" b="0" i="0">
                  <a:latin typeface="Cambria Math"/>
                </a:rPr>
                <a:t>𝐵</a:t>
              </a:r>
              <a:r>
                <a:rPr lang="de-DE" sz="1600" b="0" i="0">
                  <a:latin typeface="Cambria Math" panose="02040503050406030204" pitchFamily="18" charset="0"/>
                </a:rPr>
                <a:t>_(</a:t>
              </a:r>
              <a:r>
                <a:rPr lang="de-DE" sz="1600" b="0" i="0">
                  <a:latin typeface="Cambria Math"/>
                </a:rPr>
                <a:t>𝑑,𝐴𝐹𝑆,𝑍𝐵</a:t>
              </a:r>
              <a:r>
                <a:rPr lang="de-DE" sz="1600" b="0" i="0">
                  <a:latin typeface="Cambria Math" panose="02040503050406030204" pitchFamily="18" charset="0"/>
                </a:rPr>
                <a:t>)</a:t>
              </a:r>
              <a:r>
                <a:rPr lang="de-DE" sz="1600" b="0" i="0">
                  <a:latin typeface="Cambria Math"/>
                </a:rPr>
                <a:t>∗1000</a:t>
              </a:r>
              <a:r>
                <a:rPr lang="de-DE" sz="1600" b="0" i="0">
                  <a:latin typeface="Cambria Math" panose="02040503050406030204" pitchFamily="18" charset="0"/>
                </a:rPr>
                <a:t>)/</a:t>
              </a:r>
              <a:r>
                <a:rPr lang="de-DE" sz="1600" b="0" i="0">
                  <a:latin typeface="Cambria Math"/>
                </a:rPr>
                <a:t>𝑄</a:t>
              </a:r>
              <a:r>
                <a:rPr lang="de-DE" sz="1600" b="0" i="0">
                  <a:latin typeface="Cambria Math" panose="02040503050406030204" pitchFamily="18" charset="0"/>
                </a:rPr>
                <a:t>_</a:t>
              </a:r>
              <a:r>
                <a:rPr lang="de-DE" sz="1600" b="0" i="0">
                  <a:latin typeface="Cambria Math"/>
                </a:rPr>
                <a:t>𝑑</a:t>
              </a:r>
              <a:r>
                <a:rPr lang="de-DE" sz="1600" b="0" i="0">
                  <a:latin typeface="Cambria Math" panose="02040503050406030204" pitchFamily="18" charset="0"/>
                </a:rPr>
                <a:t> </a:t>
              </a:r>
              <a:endParaRPr lang="de-DE" sz="1600"/>
            </a:p>
          </xdr:txBody>
        </xdr:sp>
      </mc:Fallback>
    </mc:AlternateContent>
    <xdr:clientData/>
  </xdr:oneCellAnchor>
  <xdr:oneCellAnchor>
    <xdr:from>
      <xdr:col>3</xdr:col>
      <xdr:colOff>114300</xdr:colOff>
      <xdr:row>24</xdr:row>
      <xdr:rowOff>85725</xdr:rowOff>
    </xdr:from>
    <xdr:ext cx="2588978" cy="596510"/>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95FD03E0-73B0-4BDC-BD50-ED7CD0676CA6}"/>
                </a:ext>
              </a:extLst>
            </xdr:cNvPr>
            <xdr:cNvSpPr txBox="1"/>
          </xdr:nvSpPr>
          <xdr:spPr>
            <a:xfrm>
              <a:off x="4048125" y="10334625"/>
              <a:ext cx="258897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𝐶𝑆𝐵</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𝐶𝑆𝐵</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5" name="Textfeld 4">
              <a:extLst>
                <a:ext uri="{FF2B5EF4-FFF2-40B4-BE49-F238E27FC236}">
                  <a16:creationId xmlns:a16="http://schemas.microsoft.com/office/drawing/2014/main" id="{95FD03E0-73B0-4BDC-BD50-ED7CD0676CA6}"/>
                </a:ext>
              </a:extLst>
            </xdr:cNvPr>
            <xdr:cNvSpPr txBox="1"/>
          </xdr:nvSpPr>
          <xdr:spPr>
            <a:xfrm>
              <a:off x="4048125" y="10334625"/>
              <a:ext cx="258897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a:t>
              </a:r>
              <a:r>
                <a:rPr lang="de-DE" sz="1600" b="0" i="0">
                  <a:latin typeface="Cambria Math" panose="02040503050406030204" pitchFamily="18" charset="0"/>
                </a:rPr>
                <a:t>_(</a:t>
              </a:r>
              <a:r>
                <a:rPr lang="de-DE" sz="1600" b="0" i="0">
                  <a:latin typeface="Cambria Math"/>
                </a:rPr>
                <a:t>𝐶𝑆𝐵.𝑍𝐵</a:t>
              </a:r>
              <a:r>
                <a:rPr lang="de-DE" sz="1600" b="0" i="0">
                  <a:latin typeface="Cambria Math" panose="02040503050406030204" pitchFamily="18" charset="0"/>
                </a:rPr>
                <a:t>)</a:t>
              </a:r>
              <a:r>
                <a:rPr lang="de-DE" sz="1600" b="0" i="0">
                  <a:latin typeface="Cambria Math"/>
                </a:rPr>
                <a:t>= </a:t>
              </a:r>
              <a:r>
                <a:rPr lang="de-DE" sz="1600" b="0" i="0">
                  <a:latin typeface="Cambria Math" panose="02040503050406030204" pitchFamily="18" charset="0"/>
                </a:rPr>
                <a:t> (</a:t>
              </a:r>
              <a:r>
                <a:rPr lang="de-DE" sz="1600" b="0" i="0">
                  <a:latin typeface="Cambria Math"/>
                </a:rPr>
                <a:t>𝐵</a:t>
              </a:r>
              <a:r>
                <a:rPr lang="de-DE" sz="1600" b="0" i="0">
                  <a:latin typeface="Cambria Math" panose="02040503050406030204" pitchFamily="18" charset="0"/>
                </a:rPr>
                <a:t>_(</a:t>
              </a:r>
              <a:r>
                <a:rPr lang="de-DE" sz="1600" b="0" i="0">
                  <a:latin typeface="Cambria Math"/>
                </a:rPr>
                <a:t>𝑑,𝐶𝑆𝐵,𝑍𝐵</a:t>
              </a:r>
              <a:r>
                <a:rPr lang="de-DE" sz="1600" b="0" i="0">
                  <a:latin typeface="Cambria Math" panose="02040503050406030204" pitchFamily="18" charset="0"/>
                </a:rPr>
                <a:t>)</a:t>
              </a:r>
              <a:r>
                <a:rPr lang="de-DE" sz="1600" b="0" i="0">
                  <a:latin typeface="Cambria Math"/>
                </a:rPr>
                <a:t>∗1000</a:t>
              </a:r>
              <a:r>
                <a:rPr lang="de-DE" sz="1600" b="0" i="0">
                  <a:latin typeface="Cambria Math" panose="02040503050406030204" pitchFamily="18" charset="0"/>
                </a:rPr>
                <a:t>)/</a:t>
              </a:r>
              <a:r>
                <a:rPr lang="de-DE" sz="1600" b="0" i="0">
                  <a:latin typeface="Cambria Math"/>
                </a:rPr>
                <a:t>𝑄</a:t>
              </a:r>
              <a:r>
                <a:rPr lang="de-DE" sz="1600" b="0" i="0">
                  <a:latin typeface="Cambria Math" panose="02040503050406030204" pitchFamily="18" charset="0"/>
                </a:rPr>
                <a:t>_</a:t>
              </a:r>
              <a:r>
                <a:rPr lang="de-DE" sz="1600" b="0" i="0">
                  <a:latin typeface="Cambria Math"/>
                </a:rPr>
                <a:t>𝑑</a:t>
              </a:r>
              <a:r>
                <a:rPr lang="de-DE" sz="1600" b="0" i="0">
                  <a:latin typeface="Cambria Math" panose="02040503050406030204" pitchFamily="18" charset="0"/>
                </a:rPr>
                <a:t> </a:t>
              </a:r>
              <a:endParaRPr lang="de-DE" sz="1600"/>
            </a:p>
          </xdr:txBody>
        </xdr:sp>
      </mc:Fallback>
    </mc:AlternateContent>
    <xdr:clientData/>
  </xdr:oneCellAnchor>
  <xdr:twoCellAnchor editAs="oneCell">
    <xdr:from>
      <xdr:col>6</xdr:col>
      <xdr:colOff>704850</xdr:colOff>
      <xdr:row>19</xdr:row>
      <xdr:rowOff>123825</xdr:rowOff>
    </xdr:from>
    <xdr:to>
      <xdr:col>6</xdr:col>
      <xdr:colOff>5591175</xdr:colOff>
      <xdr:row>23</xdr:row>
      <xdr:rowOff>470630</xdr:rowOff>
    </xdr:to>
    <xdr:pic>
      <xdr:nvPicPr>
        <xdr:cNvPr id="6" name="Grafik 5">
          <a:extLst>
            <a:ext uri="{FF2B5EF4-FFF2-40B4-BE49-F238E27FC236}">
              <a16:creationId xmlns:a16="http://schemas.microsoft.com/office/drawing/2014/main" id="{A14BAE86-02B6-4795-B5A5-4D2BB68C6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5025" y="7848600"/>
          <a:ext cx="4886325" cy="236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114300</xdr:colOff>
      <xdr:row>25</xdr:row>
      <xdr:rowOff>85725</xdr:rowOff>
    </xdr:from>
    <xdr:ext cx="2610395" cy="596574"/>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4048125" y="9715500"/>
              <a:ext cx="2610395" cy="5965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𝐵𝑆𝐵</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𝐵𝑆𝐵</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3" name="Textfeld 2"/>
            <xdr:cNvSpPr txBox="1"/>
          </xdr:nvSpPr>
          <xdr:spPr>
            <a:xfrm>
              <a:off x="4048125" y="9715500"/>
              <a:ext cx="2610395" cy="596574"/>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𝐶_(𝐵𝑆𝐵.𝑍𝐵)=  (𝐵_(𝑑,𝐵𝑆𝐵,𝑍𝐵)∗1000)/𝑄_𝑑 </a:t>
              </a:r>
              <a:endParaRPr lang="de-DE" sz="1600"/>
            </a:p>
          </xdr:txBody>
        </xdr:sp>
      </mc:Fallback>
    </mc:AlternateContent>
    <xdr:clientData/>
  </xdr:oneCellAnchor>
  <xdr:oneCellAnchor>
    <xdr:from>
      <xdr:col>3</xdr:col>
      <xdr:colOff>114300</xdr:colOff>
      <xdr:row>26</xdr:row>
      <xdr:rowOff>95250</xdr:rowOff>
    </xdr:from>
    <xdr:ext cx="2231188" cy="596510"/>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4048125" y="10487025"/>
              <a:ext cx="223118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𝑃</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𝑃</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5" name="Textfeld 4"/>
            <xdr:cNvSpPr txBox="1"/>
          </xdr:nvSpPr>
          <xdr:spPr>
            <a:xfrm>
              <a:off x="4048125" y="10487025"/>
              <a:ext cx="223118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𝐶_(𝑃.𝑍𝐵)=  (𝐵_(𝑑,𝑃,𝑍𝐵)∗1000)/𝑄_𝑑 </a:t>
              </a:r>
              <a:endParaRPr lang="de-DE" sz="1600"/>
            </a:p>
          </xdr:txBody>
        </xdr:sp>
      </mc:Fallback>
    </mc:AlternateContent>
    <xdr:clientData/>
  </xdr:oneCellAnchor>
  <xdr:oneCellAnchor>
    <xdr:from>
      <xdr:col>3</xdr:col>
      <xdr:colOff>114300</xdr:colOff>
      <xdr:row>27</xdr:row>
      <xdr:rowOff>95250</xdr:rowOff>
    </xdr:from>
    <xdr:ext cx="2507097" cy="596510"/>
    <mc:AlternateContent xmlns:mc="http://schemas.openxmlformats.org/markup-compatibility/2006" xmlns:a14="http://schemas.microsoft.com/office/drawing/2010/main">
      <mc:Choice Requires="a14">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4048125" y="11249025"/>
              <a:ext cx="2507097"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𝑋</m:t>
                        </m:r>
                      </m:e>
                      <m:sub>
                        <m:r>
                          <a:rPr lang="de-DE" sz="1600" b="0" i="1">
                            <a:latin typeface="Cambria Math"/>
                          </a:rPr>
                          <m:t>𝑇𝑆</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𝐴𝐹𝑆</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6" name="Textfeld 5"/>
            <xdr:cNvSpPr txBox="1"/>
          </xdr:nvSpPr>
          <xdr:spPr>
            <a:xfrm>
              <a:off x="4048125" y="11249025"/>
              <a:ext cx="2507097"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𝑋_(𝑇𝑆.𝑍𝐵)=  (𝐵_(𝑑,𝐴𝐹𝑆,𝑍𝐵)∗1000)/𝑄_𝑑 </a:t>
              </a:r>
              <a:endParaRPr lang="de-DE" sz="1600"/>
            </a:p>
          </xdr:txBody>
        </xdr:sp>
      </mc:Fallback>
    </mc:AlternateContent>
    <xdr:clientData/>
  </xdr:oneCellAnchor>
  <xdr:oneCellAnchor>
    <xdr:from>
      <xdr:col>3</xdr:col>
      <xdr:colOff>114300</xdr:colOff>
      <xdr:row>24</xdr:row>
      <xdr:rowOff>85725</xdr:rowOff>
    </xdr:from>
    <xdr:ext cx="2588978" cy="596510"/>
    <mc:AlternateContent xmlns:mc="http://schemas.openxmlformats.org/markup-compatibility/2006" xmlns:a14="http://schemas.microsoft.com/office/drawing/2010/main">
      <mc:Choice Requires="a14">
        <xdr:sp macro="" textlink="">
          <xdr:nvSpPr>
            <xdr:cNvPr id="8" name="Textfeld 7">
              <a:extLst>
                <a:ext uri="{FF2B5EF4-FFF2-40B4-BE49-F238E27FC236}">
                  <a16:creationId xmlns:a16="http://schemas.microsoft.com/office/drawing/2014/main" id="{00000000-0008-0000-0400-000008000000}"/>
                </a:ext>
              </a:extLst>
            </xdr:cNvPr>
            <xdr:cNvSpPr txBox="1"/>
          </xdr:nvSpPr>
          <xdr:spPr>
            <a:xfrm>
              <a:off x="4048125" y="11239500"/>
              <a:ext cx="258897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14:m>
                <m:oMathPara xmlns:m="http://schemas.openxmlformats.org/officeDocument/2006/math">
                  <m:oMathParaPr>
                    <m:jc m:val="centerGroup"/>
                  </m:oMathParaPr>
                  <m:oMath xmlns:m="http://schemas.openxmlformats.org/officeDocument/2006/math">
                    <m:sSub>
                      <m:sSubPr>
                        <m:ctrlPr>
                          <a:rPr lang="de-DE" sz="1600" i="1">
                            <a:latin typeface="Cambria Math" panose="02040503050406030204" pitchFamily="18" charset="0"/>
                          </a:rPr>
                        </m:ctrlPr>
                      </m:sSubPr>
                      <m:e>
                        <m:r>
                          <a:rPr lang="de-DE" sz="1600" b="0" i="1">
                            <a:latin typeface="Cambria Math"/>
                          </a:rPr>
                          <m:t>𝐶</m:t>
                        </m:r>
                      </m:e>
                      <m:sub>
                        <m:r>
                          <a:rPr lang="de-DE" sz="1600" b="0" i="1">
                            <a:latin typeface="Cambria Math"/>
                          </a:rPr>
                          <m:t>𝐶𝑆𝐵</m:t>
                        </m:r>
                        <m:r>
                          <a:rPr lang="de-DE" sz="1600" b="0" i="1">
                            <a:latin typeface="Cambria Math"/>
                          </a:rPr>
                          <m:t>.</m:t>
                        </m:r>
                        <m:r>
                          <a:rPr lang="de-DE" sz="1600" b="0" i="1">
                            <a:latin typeface="Cambria Math"/>
                          </a:rPr>
                          <m:t>𝑍𝐵</m:t>
                        </m:r>
                      </m:sub>
                    </m:sSub>
                    <m:r>
                      <a:rPr lang="de-DE" sz="1600" b="0" i="1">
                        <a:latin typeface="Cambria Math"/>
                      </a:rPr>
                      <m:t>= </m:t>
                    </m:r>
                    <m:f>
                      <m:fPr>
                        <m:ctrlPr>
                          <a:rPr lang="de-DE" sz="1600" b="0" i="1">
                            <a:latin typeface="Cambria Math" panose="02040503050406030204" pitchFamily="18" charset="0"/>
                          </a:rPr>
                        </m:ctrlPr>
                      </m:fPr>
                      <m:num>
                        <m:sSub>
                          <m:sSubPr>
                            <m:ctrlPr>
                              <a:rPr lang="de-DE" sz="1600" b="0" i="1">
                                <a:latin typeface="Cambria Math" panose="02040503050406030204" pitchFamily="18" charset="0"/>
                              </a:rPr>
                            </m:ctrlPr>
                          </m:sSubPr>
                          <m:e>
                            <m:r>
                              <a:rPr lang="de-DE" sz="1600" b="0" i="1">
                                <a:latin typeface="Cambria Math"/>
                              </a:rPr>
                              <m:t>𝐵</m:t>
                            </m:r>
                          </m:e>
                          <m:sub>
                            <m:r>
                              <a:rPr lang="de-DE" sz="1600" b="0" i="1">
                                <a:latin typeface="Cambria Math"/>
                              </a:rPr>
                              <m:t>𝑑</m:t>
                            </m:r>
                            <m:r>
                              <a:rPr lang="de-DE" sz="1600" b="0" i="1">
                                <a:latin typeface="Cambria Math"/>
                              </a:rPr>
                              <m:t>,</m:t>
                            </m:r>
                            <m:r>
                              <a:rPr lang="de-DE" sz="1600" b="0" i="1">
                                <a:latin typeface="Cambria Math"/>
                              </a:rPr>
                              <m:t>𝐶𝑆𝐵</m:t>
                            </m:r>
                            <m:r>
                              <a:rPr lang="de-DE" sz="1600" b="0" i="1">
                                <a:latin typeface="Cambria Math"/>
                              </a:rPr>
                              <m:t>,</m:t>
                            </m:r>
                            <m:r>
                              <a:rPr lang="de-DE" sz="1600" b="0" i="1">
                                <a:latin typeface="Cambria Math"/>
                              </a:rPr>
                              <m:t>𝑍𝐵</m:t>
                            </m:r>
                          </m:sub>
                        </m:sSub>
                        <m:r>
                          <a:rPr lang="de-DE" sz="1600" b="0" i="1">
                            <a:latin typeface="Cambria Math"/>
                          </a:rPr>
                          <m:t>∗1000</m:t>
                        </m:r>
                      </m:num>
                      <m:den>
                        <m:sSub>
                          <m:sSubPr>
                            <m:ctrlPr>
                              <a:rPr lang="de-DE" sz="1600" b="0" i="1">
                                <a:latin typeface="Cambria Math" panose="02040503050406030204" pitchFamily="18" charset="0"/>
                              </a:rPr>
                            </m:ctrlPr>
                          </m:sSubPr>
                          <m:e>
                            <m:r>
                              <a:rPr lang="de-DE" sz="1600" b="0" i="1">
                                <a:latin typeface="Cambria Math"/>
                              </a:rPr>
                              <m:t>𝑄</m:t>
                            </m:r>
                          </m:e>
                          <m:sub>
                            <m:r>
                              <a:rPr lang="de-DE" sz="1600" b="0" i="1">
                                <a:latin typeface="Cambria Math"/>
                              </a:rPr>
                              <m:t>𝑑</m:t>
                            </m:r>
                          </m:sub>
                        </m:sSub>
                      </m:den>
                    </m:f>
                  </m:oMath>
                </m:oMathPara>
              </a14:m>
              <a:endParaRPr lang="de-DE" sz="1600"/>
            </a:p>
          </xdr:txBody>
        </xdr:sp>
      </mc:Choice>
      <mc:Fallback xmlns="">
        <xdr:sp macro="" textlink="">
          <xdr:nvSpPr>
            <xdr:cNvPr id="8" name="Textfeld 7">
              <a:extLst>
                <a:ext uri="{FF2B5EF4-FFF2-40B4-BE49-F238E27FC236}">
                  <a16:creationId xmlns:a16="http://schemas.microsoft.com/office/drawing/2014/main" id="{00000000-0008-0000-0400-000008000000}"/>
                </a:ext>
              </a:extLst>
            </xdr:cNvPr>
            <xdr:cNvSpPr txBox="1"/>
          </xdr:nvSpPr>
          <xdr:spPr>
            <a:xfrm>
              <a:off x="4048125" y="11239500"/>
              <a:ext cx="2588978" cy="596510"/>
            </a:xfrm>
            <a:prstGeom prst="rect">
              <a:avLst/>
            </a:prstGeom>
            <a:noFill/>
            <a:ln>
              <a:solidFill>
                <a:schemeClr val="accent1"/>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r>
                <a:rPr lang="de-DE" sz="1600" b="0" i="0">
                  <a:latin typeface="Cambria Math"/>
                </a:rPr>
                <a:t>𝐶</a:t>
              </a:r>
              <a:r>
                <a:rPr lang="de-DE" sz="1600" b="0" i="0">
                  <a:latin typeface="Cambria Math" panose="02040503050406030204" pitchFamily="18" charset="0"/>
                </a:rPr>
                <a:t>_(</a:t>
              </a:r>
              <a:r>
                <a:rPr lang="de-DE" sz="1600" b="0" i="0">
                  <a:latin typeface="Cambria Math"/>
                </a:rPr>
                <a:t>𝐶𝑆𝐵.𝑍𝐵</a:t>
              </a:r>
              <a:r>
                <a:rPr lang="de-DE" sz="1600" b="0" i="0">
                  <a:latin typeface="Cambria Math" panose="02040503050406030204" pitchFamily="18" charset="0"/>
                </a:rPr>
                <a:t>)</a:t>
              </a:r>
              <a:r>
                <a:rPr lang="de-DE" sz="1600" b="0" i="0">
                  <a:latin typeface="Cambria Math"/>
                </a:rPr>
                <a:t>= </a:t>
              </a:r>
              <a:r>
                <a:rPr lang="de-DE" sz="1600" b="0" i="0">
                  <a:latin typeface="Cambria Math" panose="02040503050406030204" pitchFamily="18" charset="0"/>
                </a:rPr>
                <a:t> (</a:t>
              </a:r>
              <a:r>
                <a:rPr lang="de-DE" sz="1600" b="0" i="0">
                  <a:latin typeface="Cambria Math"/>
                </a:rPr>
                <a:t>𝐵</a:t>
              </a:r>
              <a:r>
                <a:rPr lang="de-DE" sz="1600" b="0" i="0">
                  <a:latin typeface="Cambria Math" panose="02040503050406030204" pitchFamily="18" charset="0"/>
                </a:rPr>
                <a:t>_(</a:t>
              </a:r>
              <a:r>
                <a:rPr lang="de-DE" sz="1600" b="0" i="0">
                  <a:latin typeface="Cambria Math"/>
                </a:rPr>
                <a:t>𝑑,𝐶𝑆𝐵,𝑍𝐵</a:t>
              </a:r>
              <a:r>
                <a:rPr lang="de-DE" sz="1600" b="0" i="0">
                  <a:latin typeface="Cambria Math" panose="02040503050406030204" pitchFamily="18" charset="0"/>
                </a:rPr>
                <a:t>)</a:t>
              </a:r>
              <a:r>
                <a:rPr lang="de-DE" sz="1600" b="0" i="0">
                  <a:latin typeface="Cambria Math"/>
                </a:rPr>
                <a:t>∗1000</a:t>
              </a:r>
              <a:r>
                <a:rPr lang="de-DE" sz="1600" b="0" i="0">
                  <a:latin typeface="Cambria Math" panose="02040503050406030204" pitchFamily="18" charset="0"/>
                </a:rPr>
                <a:t>)/</a:t>
              </a:r>
              <a:r>
                <a:rPr lang="de-DE" sz="1600" b="0" i="0">
                  <a:latin typeface="Cambria Math"/>
                </a:rPr>
                <a:t>𝑄</a:t>
              </a:r>
              <a:r>
                <a:rPr lang="de-DE" sz="1600" b="0" i="0">
                  <a:latin typeface="Cambria Math" panose="02040503050406030204" pitchFamily="18" charset="0"/>
                </a:rPr>
                <a:t>_</a:t>
              </a:r>
              <a:r>
                <a:rPr lang="de-DE" sz="1600" b="0" i="0">
                  <a:latin typeface="Cambria Math"/>
                </a:rPr>
                <a:t>𝑑</a:t>
              </a:r>
              <a:r>
                <a:rPr lang="de-DE" sz="1600" b="0" i="0">
                  <a:latin typeface="Cambria Math" panose="02040503050406030204" pitchFamily="18" charset="0"/>
                </a:rPr>
                <a:t> </a:t>
              </a:r>
              <a:endParaRPr lang="de-DE" sz="1600"/>
            </a:p>
          </xdr:txBody>
        </xdr:sp>
      </mc:Fallback>
    </mc:AlternateContent>
    <xdr:clientData/>
  </xdr:oneCellAnchor>
  <xdr:twoCellAnchor editAs="oneCell">
    <xdr:from>
      <xdr:col>6</xdr:col>
      <xdr:colOff>704850</xdr:colOff>
      <xdr:row>19</xdr:row>
      <xdr:rowOff>123825</xdr:rowOff>
    </xdr:from>
    <xdr:to>
      <xdr:col>6</xdr:col>
      <xdr:colOff>5591175</xdr:colOff>
      <xdr:row>23</xdr:row>
      <xdr:rowOff>470630</xdr:rowOff>
    </xdr:to>
    <xdr:pic>
      <xdr:nvPicPr>
        <xdr:cNvPr id="9" name="Grafik 8">
          <a:extLst>
            <a:ext uri="{FF2B5EF4-FFF2-40B4-BE49-F238E27FC236}">
              <a16:creationId xmlns:a16="http://schemas.microsoft.com/office/drawing/2014/main" id="{89098F6E-E00C-4338-8DFC-F5ED7D48D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5025" y="7848600"/>
          <a:ext cx="4886325" cy="236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161925</xdr:colOff>
      <xdr:row>12</xdr:row>
      <xdr:rowOff>123145</xdr:rowOff>
    </xdr:from>
    <xdr:to>
      <xdr:col>3</xdr:col>
      <xdr:colOff>5267325</xdr:colOff>
      <xdr:row>12</xdr:row>
      <xdr:rowOff>533400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62475" y="8971870"/>
          <a:ext cx="5105400" cy="41025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2</xdr:row>
      <xdr:rowOff>114300</xdr:rowOff>
    </xdr:from>
    <xdr:to>
      <xdr:col>3</xdr:col>
      <xdr:colOff>3476625</xdr:colOff>
      <xdr:row>2</xdr:row>
      <xdr:rowOff>657225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75" y="619125"/>
          <a:ext cx="3352800" cy="5429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9</xdr:row>
      <xdr:rowOff>137568</xdr:rowOff>
    </xdr:from>
    <xdr:to>
      <xdr:col>3</xdr:col>
      <xdr:colOff>5229225</xdr:colOff>
      <xdr:row>9</xdr:row>
      <xdr:rowOff>657225</xdr:rowOff>
    </xdr:to>
    <xdr:pic>
      <xdr:nvPicPr>
        <xdr:cNvPr id="5" name="Picture 8">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75" y="6833643"/>
          <a:ext cx="5105400" cy="519657"/>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14</xdr:row>
      <xdr:rowOff>581025</xdr:rowOff>
    </xdr:from>
    <xdr:to>
      <xdr:col>3</xdr:col>
      <xdr:colOff>4191000</xdr:colOff>
      <xdr:row>14</xdr:row>
      <xdr:rowOff>952500</xdr:rowOff>
    </xdr:to>
    <xdr:pic>
      <xdr:nvPicPr>
        <xdr:cNvPr id="6" name="Picture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00575" y="10439400"/>
          <a:ext cx="3990975" cy="3714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3</xdr:row>
      <xdr:rowOff>114300</xdr:rowOff>
    </xdr:from>
    <xdr:to>
      <xdr:col>3</xdr:col>
      <xdr:colOff>3600450</xdr:colOff>
      <xdr:row>3</xdr:row>
      <xdr:rowOff>657225</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5" y="1628775"/>
          <a:ext cx="3476625" cy="5429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133351</xdr:colOff>
      <xdr:row>7</xdr:row>
      <xdr:rowOff>133350</xdr:rowOff>
    </xdr:from>
    <xdr:to>
      <xdr:col>3</xdr:col>
      <xdr:colOff>5724525</xdr:colOff>
      <xdr:row>7</xdr:row>
      <xdr:rowOff>611599</xdr:rowOff>
    </xdr:to>
    <xdr:pic>
      <xdr:nvPicPr>
        <xdr:cNvPr id="11" name="Grafik 10">
          <a:extLst>
            <a:ext uri="{FF2B5EF4-FFF2-40B4-BE49-F238E27FC236}">
              <a16:creationId xmlns:a16="http://schemas.microsoft.com/office/drawing/2014/main" id="{0AEDC426-1CEA-458C-AF3C-DE25D13D214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33901" y="5695950"/>
          <a:ext cx="5591174" cy="478249"/>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6</xdr:row>
      <xdr:rowOff>133350</xdr:rowOff>
    </xdr:from>
    <xdr:to>
      <xdr:col>3</xdr:col>
      <xdr:colOff>6210300</xdr:colOff>
      <xdr:row>6</xdr:row>
      <xdr:rowOff>695325</xdr:rowOff>
    </xdr:to>
    <xdr:pic>
      <xdr:nvPicPr>
        <xdr:cNvPr id="12" name="Grafik 11">
          <a:extLst>
            <a:ext uri="{FF2B5EF4-FFF2-40B4-BE49-F238E27FC236}">
              <a16:creationId xmlns:a16="http://schemas.microsoft.com/office/drawing/2014/main" id="{B62DFBFA-C5FA-40BD-9658-92B744B15D2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24375" y="4686300"/>
          <a:ext cx="6086475" cy="5619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10</xdr:row>
      <xdr:rowOff>200025</xdr:rowOff>
    </xdr:from>
    <xdr:to>
      <xdr:col>3</xdr:col>
      <xdr:colOff>3648075</xdr:colOff>
      <xdr:row>10</xdr:row>
      <xdr:rowOff>704850</xdr:rowOff>
    </xdr:to>
    <xdr:pic>
      <xdr:nvPicPr>
        <xdr:cNvPr id="13" name="Grafik 12">
          <a:extLst>
            <a:ext uri="{FF2B5EF4-FFF2-40B4-BE49-F238E27FC236}">
              <a16:creationId xmlns:a16="http://schemas.microsoft.com/office/drawing/2014/main" id="{69132EF0-BA42-4EC3-B3B9-E48EBB1FF2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52950" y="7915275"/>
          <a:ext cx="3495675" cy="5048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123825</xdr:colOff>
      <xdr:row>9</xdr:row>
      <xdr:rowOff>140477</xdr:rowOff>
    </xdr:from>
    <xdr:to>
      <xdr:col>3</xdr:col>
      <xdr:colOff>5200650</xdr:colOff>
      <xdr:row>9</xdr:row>
      <xdr:rowOff>657225</xdr:rowOff>
    </xdr:to>
    <xdr:pic>
      <xdr:nvPicPr>
        <xdr:cNvPr id="5" name="Picture 8">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4375" y="7093727"/>
          <a:ext cx="5076825" cy="516748"/>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14</xdr:row>
      <xdr:rowOff>581025</xdr:rowOff>
    </xdr:from>
    <xdr:to>
      <xdr:col>3</xdr:col>
      <xdr:colOff>4191000</xdr:colOff>
      <xdr:row>14</xdr:row>
      <xdr:rowOff>952500</xdr:rowOff>
    </xdr:to>
    <xdr:pic>
      <xdr:nvPicPr>
        <xdr:cNvPr id="7" name="Picture 12">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0575" y="10439400"/>
          <a:ext cx="3990975" cy="3714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10</xdr:row>
      <xdr:rowOff>161925</xdr:rowOff>
    </xdr:from>
    <xdr:to>
      <xdr:col>3</xdr:col>
      <xdr:colOff>3648075</xdr:colOff>
      <xdr:row>10</xdr:row>
      <xdr:rowOff>666750</xdr:rowOff>
    </xdr:to>
    <xdr:pic>
      <xdr:nvPicPr>
        <xdr:cNvPr id="12" name="Grafik 11">
          <a:extLst>
            <a:ext uri="{FF2B5EF4-FFF2-40B4-BE49-F238E27FC236}">
              <a16:creationId xmlns:a16="http://schemas.microsoft.com/office/drawing/2014/main" id="{B970E08F-6A0C-431D-8969-11D4DF9BDA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2950" y="7877175"/>
          <a:ext cx="3495675" cy="50482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133351</xdr:colOff>
      <xdr:row>7</xdr:row>
      <xdr:rowOff>133350</xdr:rowOff>
    </xdr:from>
    <xdr:to>
      <xdr:col>3</xdr:col>
      <xdr:colOff>5724525</xdr:colOff>
      <xdr:row>7</xdr:row>
      <xdr:rowOff>611599</xdr:rowOff>
    </xdr:to>
    <xdr:pic>
      <xdr:nvPicPr>
        <xdr:cNvPr id="13" name="Grafik 12">
          <a:extLst>
            <a:ext uri="{FF2B5EF4-FFF2-40B4-BE49-F238E27FC236}">
              <a16:creationId xmlns:a16="http://schemas.microsoft.com/office/drawing/2014/main" id="{2C1E5338-24EE-4AAF-AB14-FBCC2B3782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33901" y="5695950"/>
          <a:ext cx="5591174" cy="478249"/>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6</xdr:row>
      <xdr:rowOff>133350</xdr:rowOff>
    </xdr:from>
    <xdr:to>
      <xdr:col>3</xdr:col>
      <xdr:colOff>6210300</xdr:colOff>
      <xdr:row>6</xdr:row>
      <xdr:rowOff>695325</xdr:rowOff>
    </xdr:to>
    <xdr:pic>
      <xdr:nvPicPr>
        <xdr:cNvPr id="15" name="Grafik 14">
          <a:extLst>
            <a:ext uri="{FF2B5EF4-FFF2-40B4-BE49-F238E27FC236}">
              <a16:creationId xmlns:a16="http://schemas.microsoft.com/office/drawing/2014/main" id="{E000FE72-84BB-48F7-AEA1-77944A4541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5" y="4686300"/>
          <a:ext cx="6086475" cy="5619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12</xdr:row>
      <xdr:rowOff>323850</xdr:rowOff>
    </xdr:from>
    <xdr:to>
      <xdr:col>3</xdr:col>
      <xdr:colOff>5572125</xdr:colOff>
      <xdr:row>12</xdr:row>
      <xdr:rowOff>809625</xdr:rowOff>
    </xdr:to>
    <xdr:pic>
      <xdr:nvPicPr>
        <xdr:cNvPr id="18" name="Grafik 17">
          <a:extLst>
            <a:ext uri="{FF2B5EF4-FFF2-40B4-BE49-F238E27FC236}">
              <a16:creationId xmlns:a16="http://schemas.microsoft.com/office/drawing/2014/main" id="{AC0707DC-6168-45CA-B3FF-F6394CFAB9F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72000" y="9925050"/>
          <a:ext cx="5400675" cy="485775"/>
        </a:xfrm>
        <a:prstGeom prst="rect">
          <a:avLst/>
        </a:prstGeom>
        <a:noFill/>
        <a:ln>
          <a:noFill/>
        </a:ln>
        <a:effectLst>
          <a:glow rad="139700">
            <a:schemeClr val="accent3">
              <a:satMod val="175000"/>
              <a:alpha val="4000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571500</xdr:colOff>
      <xdr:row>3</xdr:row>
      <xdr:rowOff>9525</xdr:rowOff>
    </xdr:from>
    <xdr:to>
      <xdr:col>4</xdr:col>
      <xdr:colOff>523875</xdr:colOff>
      <xdr:row>5</xdr:row>
      <xdr:rowOff>238125</xdr:rowOff>
    </xdr:to>
    <xdr:cxnSp macro="">
      <xdr:nvCxnSpPr>
        <xdr:cNvPr id="2" name="Gerade Verbindung mit Pfeil 1">
          <a:extLst>
            <a:ext uri="{FF2B5EF4-FFF2-40B4-BE49-F238E27FC236}">
              <a16:creationId xmlns:a16="http://schemas.microsoft.com/office/drawing/2014/main" id="{F4E4F1E8-7B31-4854-919C-E65268EC33BB}"/>
            </a:ext>
          </a:extLst>
        </xdr:cNvPr>
        <xdr:cNvCxnSpPr/>
      </xdr:nvCxnSpPr>
      <xdr:spPr>
        <a:xfrm flipH="1">
          <a:off x="2381250" y="1200150"/>
          <a:ext cx="2047875"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533401</xdr:colOff>
      <xdr:row>3</xdr:row>
      <xdr:rowOff>0</xdr:rowOff>
    </xdr:from>
    <xdr:to>
      <xdr:col>6</xdr:col>
      <xdr:colOff>581025</xdr:colOff>
      <xdr:row>5</xdr:row>
      <xdr:rowOff>238125</xdr:rowOff>
    </xdr:to>
    <xdr:cxnSp macro="">
      <xdr:nvCxnSpPr>
        <xdr:cNvPr id="3" name="Gerade Verbindung mit Pfeil 2">
          <a:extLst>
            <a:ext uri="{FF2B5EF4-FFF2-40B4-BE49-F238E27FC236}">
              <a16:creationId xmlns:a16="http://schemas.microsoft.com/office/drawing/2014/main" id="{A82A6A51-310E-4769-9E8D-BDF64A9C59D6}"/>
            </a:ext>
          </a:extLst>
        </xdr:cNvPr>
        <xdr:cNvCxnSpPr/>
      </xdr:nvCxnSpPr>
      <xdr:spPr>
        <a:xfrm>
          <a:off x="4438651" y="1190625"/>
          <a:ext cx="2143124" cy="733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8</xdr:row>
      <xdr:rowOff>28575</xdr:rowOff>
    </xdr:from>
    <xdr:to>
      <xdr:col>2</xdr:col>
      <xdr:colOff>466727</xdr:colOff>
      <xdr:row>10</xdr:row>
      <xdr:rowOff>9525</xdr:rowOff>
    </xdr:to>
    <xdr:cxnSp macro="">
      <xdr:nvCxnSpPr>
        <xdr:cNvPr id="4" name="Gerade Verbindung mit Pfeil 3">
          <a:extLst>
            <a:ext uri="{FF2B5EF4-FFF2-40B4-BE49-F238E27FC236}">
              <a16:creationId xmlns:a16="http://schemas.microsoft.com/office/drawing/2014/main" id="{9913620E-3F54-4E50-BF1D-E10D13D1FA32}"/>
            </a:ext>
          </a:extLst>
        </xdr:cNvPr>
        <xdr:cNvCxnSpPr/>
      </xdr:nvCxnSpPr>
      <xdr:spPr>
        <a:xfrm flipH="1">
          <a:off x="1295400" y="2752725"/>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476251</xdr:colOff>
      <xdr:row>8</xdr:row>
      <xdr:rowOff>19050</xdr:rowOff>
    </xdr:from>
    <xdr:to>
      <xdr:col>3</xdr:col>
      <xdr:colOff>457200</xdr:colOff>
      <xdr:row>10</xdr:row>
      <xdr:rowOff>9525</xdr:rowOff>
    </xdr:to>
    <xdr:cxnSp macro="">
      <xdr:nvCxnSpPr>
        <xdr:cNvPr id="5" name="Gerade Verbindung mit Pfeil 4">
          <a:extLst>
            <a:ext uri="{FF2B5EF4-FFF2-40B4-BE49-F238E27FC236}">
              <a16:creationId xmlns:a16="http://schemas.microsoft.com/office/drawing/2014/main" id="{F3F6A01A-55AE-422A-BEA5-76AA1E44F4A6}"/>
            </a:ext>
          </a:extLst>
        </xdr:cNvPr>
        <xdr:cNvCxnSpPr/>
      </xdr:nvCxnSpPr>
      <xdr:spPr>
        <a:xfrm>
          <a:off x="2286001" y="2743200"/>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8</xdr:row>
      <xdr:rowOff>19050</xdr:rowOff>
    </xdr:from>
    <xdr:to>
      <xdr:col>6</xdr:col>
      <xdr:colOff>514352</xdr:colOff>
      <xdr:row>10</xdr:row>
      <xdr:rowOff>0</xdr:rowOff>
    </xdr:to>
    <xdr:cxnSp macro="">
      <xdr:nvCxnSpPr>
        <xdr:cNvPr id="6" name="Gerade Verbindung mit Pfeil 5">
          <a:extLst>
            <a:ext uri="{FF2B5EF4-FFF2-40B4-BE49-F238E27FC236}">
              <a16:creationId xmlns:a16="http://schemas.microsoft.com/office/drawing/2014/main" id="{9624525D-36F3-49CC-9AE4-425CC8736934}"/>
            </a:ext>
          </a:extLst>
        </xdr:cNvPr>
        <xdr:cNvCxnSpPr/>
      </xdr:nvCxnSpPr>
      <xdr:spPr>
        <a:xfrm flipH="1">
          <a:off x="5534025" y="2743200"/>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523876</xdr:colOff>
      <xdr:row>8</xdr:row>
      <xdr:rowOff>9525</xdr:rowOff>
    </xdr:from>
    <xdr:to>
      <xdr:col>7</xdr:col>
      <xdr:colOff>504825</xdr:colOff>
      <xdr:row>10</xdr:row>
      <xdr:rowOff>0</xdr:rowOff>
    </xdr:to>
    <xdr:cxnSp macro="">
      <xdr:nvCxnSpPr>
        <xdr:cNvPr id="7" name="Gerade Verbindung mit Pfeil 6">
          <a:extLst>
            <a:ext uri="{FF2B5EF4-FFF2-40B4-BE49-F238E27FC236}">
              <a16:creationId xmlns:a16="http://schemas.microsoft.com/office/drawing/2014/main" id="{C46973FE-DEF2-4107-8BF2-CD59A5CAAB12}"/>
            </a:ext>
          </a:extLst>
        </xdr:cNvPr>
        <xdr:cNvCxnSpPr/>
      </xdr:nvCxnSpPr>
      <xdr:spPr>
        <a:xfrm>
          <a:off x="6524626" y="2733675"/>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409575</xdr:colOff>
      <xdr:row>3</xdr:row>
      <xdr:rowOff>9525</xdr:rowOff>
    </xdr:from>
    <xdr:to>
      <xdr:col>10</xdr:col>
      <xdr:colOff>381003</xdr:colOff>
      <xdr:row>5</xdr:row>
      <xdr:rowOff>238125</xdr:rowOff>
    </xdr:to>
    <xdr:cxnSp macro="">
      <xdr:nvCxnSpPr>
        <xdr:cNvPr id="8" name="Gerade Verbindung mit Pfeil 7">
          <a:extLst>
            <a:ext uri="{FF2B5EF4-FFF2-40B4-BE49-F238E27FC236}">
              <a16:creationId xmlns:a16="http://schemas.microsoft.com/office/drawing/2014/main" id="{8F5187CD-736D-49AD-B272-D3E7C60F1BD8}"/>
            </a:ext>
          </a:extLst>
        </xdr:cNvPr>
        <xdr:cNvCxnSpPr/>
      </xdr:nvCxnSpPr>
      <xdr:spPr>
        <a:xfrm flipH="1">
          <a:off x="9553575" y="1200150"/>
          <a:ext cx="1019178"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390526</xdr:colOff>
      <xdr:row>3</xdr:row>
      <xdr:rowOff>0</xdr:rowOff>
    </xdr:from>
    <xdr:to>
      <xdr:col>11</xdr:col>
      <xdr:colOff>371475</xdr:colOff>
      <xdr:row>6</xdr:row>
      <xdr:rowOff>9525</xdr:rowOff>
    </xdr:to>
    <xdr:cxnSp macro="">
      <xdr:nvCxnSpPr>
        <xdr:cNvPr id="9" name="Gerade Verbindung mit Pfeil 8">
          <a:extLst>
            <a:ext uri="{FF2B5EF4-FFF2-40B4-BE49-F238E27FC236}">
              <a16:creationId xmlns:a16="http://schemas.microsoft.com/office/drawing/2014/main" id="{A0E4664A-3D8C-4457-9AFB-34F7C0ECA2BE}"/>
            </a:ext>
          </a:extLst>
        </xdr:cNvPr>
        <xdr:cNvCxnSpPr/>
      </xdr:nvCxnSpPr>
      <xdr:spPr>
        <a:xfrm>
          <a:off x="10582276" y="1190625"/>
          <a:ext cx="1028699" cy="7524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7</xdr:row>
      <xdr:rowOff>133350</xdr:rowOff>
    </xdr:from>
    <xdr:to>
      <xdr:col>8</xdr:col>
      <xdr:colOff>1000125</xdr:colOff>
      <xdr:row>7</xdr:row>
      <xdr:rowOff>142875</xdr:rowOff>
    </xdr:to>
    <xdr:cxnSp macro="">
      <xdr:nvCxnSpPr>
        <xdr:cNvPr id="10" name="Gerade Verbindung mit Pfeil 9">
          <a:extLst>
            <a:ext uri="{FF2B5EF4-FFF2-40B4-BE49-F238E27FC236}">
              <a16:creationId xmlns:a16="http://schemas.microsoft.com/office/drawing/2014/main" id="{52F82AEA-D8A2-49BF-911F-156CBB5CF24B}"/>
            </a:ext>
          </a:extLst>
        </xdr:cNvPr>
        <xdr:cNvCxnSpPr/>
      </xdr:nvCxnSpPr>
      <xdr:spPr>
        <a:xfrm>
          <a:off x="7115175" y="2609850"/>
          <a:ext cx="1981200" cy="9525"/>
        </a:xfrm>
        <a:prstGeom prst="straightConnector1">
          <a:avLst/>
        </a:prstGeom>
        <a:ln w="15875">
          <a:solidFill>
            <a:srgbClr val="FF0000"/>
          </a:solidFill>
          <a:prstDash val="dash"/>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21</xdr:row>
      <xdr:rowOff>9525</xdr:rowOff>
    </xdr:from>
    <xdr:to>
      <xdr:col>4</xdr:col>
      <xdr:colOff>523875</xdr:colOff>
      <xdr:row>23</xdr:row>
      <xdr:rowOff>238125</xdr:rowOff>
    </xdr:to>
    <xdr:cxnSp macro="">
      <xdr:nvCxnSpPr>
        <xdr:cNvPr id="11" name="Gerade Verbindung mit Pfeil 10">
          <a:extLst>
            <a:ext uri="{FF2B5EF4-FFF2-40B4-BE49-F238E27FC236}">
              <a16:creationId xmlns:a16="http://schemas.microsoft.com/office/drawing/2014/main" id="{8F552E57-83F2-43A4-8D36-7A2EDD05A87B}"/>
            </a:ext>
          </a:extLst>
        </xdr:cNvPr>
        <xdr:cNvCxnSpPr/>
      </xdr:nvCxnSpPr>
      <xdr:spPr>
        <a:xfrm flipH="1">
          <a:off x="2381250" y="6248400"/>
          <a:ext cx="2047875" cy="723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533401</xdr:colOff>
      <xdr:row>21</xdr:row>
      <xdr:rowOff>0</xdr:rowOff>
    </xdr:from>
    <xdr:to>
      <xdr:col>6</xdr:col>
      <xdr:colOff>581025</xdr:colOff>
      <xdr:row>23</xdr:row>
      <xdr:rowOff>238125</xdr:rowOff>
    </xdr:to>
    <xdr:cxnSp macro="">
      <xdr:nvCxnSpPr>
        <xdr:cNvPr id="12" name="Gerade Verbindung mit Pfeil 11">
          <a:extLst>
            <a:ext uri="{FF2B5EF4-FFF2-40B4-BE49-F238E27FC236}">
              <a16:creationId xmlns:a16="http://schemas.microsoft.com/office/drawing/2014/main" id="{407113D6-5264-48F0-9856-F11BFA4829EA}"/>
            </a:ext>
          </a:extLst>
        </xdr:cNvPr>
        <xdr:cNvCxnSpPr/>
      </xdr:nvCxnSpPr>
      <xdr:spPr>
        <a:xfrm>
          <a:off x="4438651" y="6238875"/>
          <a:ext cx="2143124" cy="733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533400</xdr:colOff>
      <xdr:row>27</xdr:row>
      <xdr:rowOff>28575</xdr:rowOff>
    </xdr:from>
    <xdr:to>
      <xdr:col>2</xdr:col>
      <xdr:colOff>466727</xdr:colOff>
      <xdr:row>29</xdr:row>
      <xdr:rowOff>9525</xdr:rowOff>
    </xdr:to>
    <xdr:cxnSp macro="">
      <xdr:nvCxnSpPr>
        <xdr:cNvPr id="13" name="Gerade Verbindung mit Pfeil 12">
          <a:extLst>
            <a:ext uri="{FF2B5EF4-FFF2-40B4-BE49-F238E27FC236}">
              <a16:creationId xmlns:a16="http://schemas.microsoft.com/office/drawing/2014/main" id="{201231B6-B30D-45BE-B740-9B1774DF5988}"/>
            </a:ext>
          </a:extLst>
        </xdr:cNvPr>
        <xdr:cNvCxnSpPr/>
      </xdr:nvCxnSpPr>
      <xdr:spPr>
        <a:xfrm flipH="1">
          <a:off x="1295400" y="7753350"/>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476251</xdr:colOff>
      <xdr:row>27</xdr:row>
      <xdr:rowOff>19050</xdr:rowOff>
    </xdr:from>
    <xdr:to>
      <xdr:col>3</xdr:col>
      <xdr:colOff>457200</xdr:colOff>
      <xdr:row>29</xdr:row>
      <xdr:rowOff>9525</xdr:rowOff>
    </xdr:to>
    <xdr:cxnSp macro="">
      <xdr:nvCxnSpPr>
        <xdr:cNvPr id="14" name="Gerade Verbindung mit Pfeil 13">
          <a:extLst>
            <a:ext uri="{FF2B5EF4-FFF2-40B4-BE49-F238E27FC236}">
              <a16:creationId xmlns:a16="http://schemas.microsoft.com/office/drawing/2014/main" id="{66A5CE86-BFEB-4349-98DB-C275C3EC370F}"/>
            </a:ext>
          </a:extLst>
        </xdr:cNvPr>
        <xdr:cNvCxnSpPr/>
      </xdr:nvCxnSpPr>
      <xdr:spPr>
        <a:xfrm>
          <a:off x="2286001" y="7743825"/>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27</xdr:row>
      <xdr:rowOff>19050</xdr:rowOff>
    </xdr:from>
    <xdr:to>
      <xdr:col>6</xdr:col>
      <xdr:colOff>514352</xdr:colOff>
      <xdr:row>29</xdr:row>
      <xdr:rowOff>0</xdr:rowOff>
    </xdr:to>
    <xdr:cxnSp macro="">
      <xdr:nvCxnSpPr>
        <xdr:cNvPr id="15" name="Gerade Verbindung mit Pfeil 14">
          <a:extLst>
            <a:ext uri="{FF2B5EF4-FFF2-40B4-BE49-F238E27FC236}">
              <a16:creationId xmlns:a16="http://schemas.microsoft.com/office/drawing/2014/main" id="{6D106BBB-DB4A-4013-B417-DA8D9262EDD8}"/>
            </a:ext>
          </a:extLst>
        </xdr:cNvPr>
        <xdr:cNvCxnSpPr/>
      </xdr:nvCxnSpPr>
      <xdr:spPr>
        <a:xfrm flipH="1">
          <a:off x="5534025" y="7743825"/>
          <a:ext cx="981077" cy="476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523876</xdr:colOff>
      <xdr:row>27</xdr:row>
      <xdr:rowOff>9525</xdr:rowOff>
    </xdr:from>
    <xdr:to>
      <xdr:col>7</xdr:col>
      <xdr:colOff>504825</xdr:colOff>
      <xdr:row>29</xdr:row>
      <xdr:rowOff>0</xdr:rowOff>
    </xdr:to>
    <xdr:cxnSp macro="">
      <xdr:nvCxnSpPr>
        <xdr:cNvPr id="16" name="Gerade Verbindung mit Pfeil 15">
          <a:extLst>
            <a:ext uri="{FF2B5EF4-FFF2-40B4-BE49-F238E27FC236}">
              <a16:creationId xmlns:a16="http://schemas.microsoft.com/office/drawing/2014/main" id="{3F1C8AB5-55D1-4F97-A148-34278BAAF4D5}"/>
            </a:ext>
          </a:extLst>
        </xdr:cNvPr>
        <xdr:cNvCxnSpPr/>
      </xdr:nvCxnSpPr>
      <xdr:spPr>
        <a:xfrm>
          <a:off x="6524626" y="7734300"/>
          <a:ext cx="1028699" cy="4857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514350</xdr:colOff>
      <xdr:row>32</xdr:row>
      <xdr:rowOff>0</xdr:rowOff>
    </xdr:from>
    <xdr:to>
      <xdr:col>3</xdr:col>
      <xdr:colOff>485775</xdr:colOff>
      <xdr:row>35</xdr:row>
      <xdr:rowOff>238125</xdr:rowOff>
    </xdr:to>
    <xdr:cxnSp macro="">
      <xdr:nvCxnSpPr>
        <xdr:cNvPr id="17" name="Gerade Verbindung mit Pfeil 16">
          <a:extLst>
            <a:ext uri="{FF2B5EF4-FFF2-40B4-BE49-F238E27FC236}">
              <a16:creationId xmlns:a16="http://schemas.microsoft.com/office/drawing/2014/main" id="{45B7C572-2AB6-43D7-BE4D-24E83AC708FE}"/>
            </a:ext>
          </a:extLst>
        </xdr:cNvPr>
        <xdr:cNvCxnSpPr/>
      </xdr:nvCxnSpPr>
      <xdr:spPr>
        <a:xfrm>
          <a:off x="1276350" y="9353550"/>
          <a:ext cx="2066925"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485775</xdr:colOff>
      <xdr:row>32</xdr:row>
      <xdr:rowOff>0</xdr:rowOff>
    </xdr:from>
    <xdr:to>
      <xdr:col>5</xdr:col>
      <xdr:colOff>561977</xdr:colOff>
      <xdr:row>35</xdr:row>
      <xdr:rowOff>228600</xdr:rowOff>
    </xdr:to>
    <xdr:cxnSp macro="">
      <xdr:nvCxnSpPr>
        <xdr:cNvPr id="18" name="Gerade Verbindung mit Pfeil 17">
          <a:extLst>
            <a:ext uri="{FF2B5EF4-FFF2-40B4-BE49-F238E27FC236}">
              <a16:creationId xmlns:a16="http://schemas.microsoft.com/office/drawing/2014/main" id="{809E51F0-FD37-47E7-A260-9CC0F400EA7F}"/>
            </a:ext>
          </a:extLst>
        </xdr:cNvPr>
        <xdr:cNvCxnSpPr/>
      </xdr:nvCxnSpPr>
      <xdr:spPr>
        <a:xfrm flipH="1">
          <a:off x="3343275" y="9353550"/>
          <a:ext cx="2171702" cy="971550"/>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590550</xdr:colOff>
      <xdr:row>12</xdr:row>
      <xdr:rowOff>0</xdr:rowOff>
    </xdr:from>
    <xdr:to>
      <xdr:col>5</xdr:col>
      <xdr:colOff>533402</xdr:colOff>
      <xdr:row>15</xdr:row>
      <xdr:rowOff>238125</xdr:rowOff>
    </xdr:to>
    <xdr:cxnSp macro="">
      <xdr:nvCxnSpPr>
        <xdr:cNvPr id="19" name="Gerade Verbindung mit Pfeil 18">
          <a:extLst>
            <a:ext uri="{FF2B5EF4-FFF2-40B4-BE49-F238E27FC236}">
              <a16:creationId xmlns:a16="http://schemas.microsoft.com/office/drawing/2014/main" id="{B0C8526A-0BE7-4587-9145-E33840F31B6D}"/>
            </a:ext>
          </a:extLst>
        </xdr:cNvPr>
        <xdr:cNvCxnSpPr/>
      </xdr:nvCxnSpPr>
      <xdr:spPr>
        <a:xfrm flipH="1">
          <a:off x="3448050" y="4010025"/>
          <a:ext cx="2038352"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12</xdr:row>
      <xdr:rowOff>0</xdr:rowOff>
    </xdr:from>
    <xdr:to>
      <xdr:col>3</xdr:col>
      <xdr:colOff>571500</xdr:colOff>
      <xdr:row>15</xdr:row>
      <xdr:rowOff>238125</xdr:rowOff>
    </xdr:to>
    <xdr:cxnSp macro="">
      <xdr:nvCxnSpPr>
        <xdr:cNvPr id="20" name="Gerade Verbindung mit Pfeil 19">
          <a:extLst>
            <a:ext uri="{FF2B5EF4-FFF2-40B4-BE49-F238E27FC236}">
              <a16:creationId xmlns:a16="http://schemas.microsoft.com/office/drawing/2014/main" id="{303CD8E1-6571-4AE6-B26C-85D13AFD35B1}"/>
            </a:ext>
          </a:extLst>
        </xdr:cNvPr>
        <xdr:cNvCxnSpPr/>
      </xdr:nvCxnSpPr>
      <xdr:spPr>
        <a:xfrm>
          <a:off x="1247775" y="4010025"/>
          <a:ext cx="2181225" cy="981075"/>
        </a:xfrm>
        <a:prstGeom prst="straightConnector1">
          <a:avLst/>
        </a:prstGeom>
        <a:ln>
          <a:solidFill>
            <a:srgbClr val="FF0000"/>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619125</xdr:colOff>
      <xdr:row>2</xdr:row>
      <xdr:rowOff>238125</xdr:rowOff>
    </xdr:from>
    <xdr:to>
      <xdr:col>4</xdr:col>
      <xdr:colOff>542926</xdr:colOff>
      <xdr:row>9</xdr:row>
      <xdr:rowOff>238125</xdr:rowOff>
    </xdr:to>
    <xdr:cxnSp macro="">
      <xdr:nvCxnSpPr>
        <xdr:cNvPr id="21" name="Gerade Verbindung mit Pfeil 20">
          <a:extLst>
            <a:ext uri="{FF2B5EF4-FFF2-40B4-BE49-F238E27FC236}">
              <a16:creationId xmlns:a16="http://schemas.microsoft.com/office/drawing/2014/main" id="{2C9FF294-092F-4040-8073-BDEE5E733609}"/>
            </a:ext>
          </a:extLst>
        </xdr:cNvPr>
        <xdr:cNvCxnSpPr/>
      </xdr:nvCxnSpPr>
      <xdr:spPr>
        <a:xfrm flipH="1">
          <a:off x="3476625" y="1181100"/>
          <a:ext cx="971551" cy="2028825"/>
        </a:xfrm>
        <a:prstGeom prst="straightConnector1">
          <a:avLst/>
        </a:prstGeom>
        <a:ln w="1905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kumente%20Olaf/Privat/_BEUTH/2021_22%20Entsorgung%20(Abfall%20und%20Abwasser)/&#220;_02/Bemessung%20KA%20Stahnsdorf%20nach%20A%20131%20-%20f&#252;r%20&#220;bung%2002%20und%20folgen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Bemessung VKB"/>
      <sheetName val="0 Ablaufplan Bemessung"/>
      <sheetName val="0 Verfahrenswahl"/>
      <sheetName val="0 Standard Fraktionierg. Tab."/>
      <sheetName val="0 Standard Fraktionierg. Schema"/>
      <sheetName val="0 Zulauf-Ablauf-Vergleich"/>
      <sheetName val="1 Zulaufwerte Aufgabe"/>
      <sheetName val="1 Zulaufwerte"/>
      <sheetName val="2 CSB-Bilanz Aufg."/>
      <sheetName val="2a CSB-Bilanz"/>
      <sheetName val="2b CSB-TS-Fraktionierg. Schema"/>
      <sheetName val="3 N-Bilanz Aufg."/>
      <sheetName val="3 N-Bilanz"/>
      <sheetName val="4 P-Bilanz Aufg."/>
      <sheetName val="4 P-Bilanz"/>
      <sheetName val="5 tTS,aerob, Anteil VD Aufg."/>
      <sheetName val="5 tTS,aerob, Anteil VD"/>
      <sheetName val="6 DeNi &amp; C-Quelle Aufg."/>
      <sheetName val="6 DeNi &amp; C-Quelle"/>
      <sheetName val="7 ÜSd, FT, tTS Aufg."/>
      <sheetName val="7 ÜSd, FT, tTS"/>
      <sheetName val="8 MTS, VBB, VN, VD Aufg."/>
      <sheetName val="8 MTS, VBB, VN, VD"/>
      <sheetName val="9 ISV, tE, TSBB, RV Aufg."/>
      <sheetName val="9 ISV, tE, TSBB, RV"/>
      <sheetName val="10 int. Rezi Aufg."/>
      <sheetName val="10 int. Rezi"/>
      <sheetName val="11 O2-Zufuhr Aufg."/>
      <sheetName val="11 O2-Zufuhr"/>
      <sheetName val="12 Säurekapazität Aufg."/>
      <sheetName val="12 Säurekapazität"/>
      <sheetName val="13 qA, qSV, VSV, ANB Aufg."/>
      <sheetName val="13 qA, qSV, VSV, ANB"/>
      <sheetName val="14 NKB Aufg."/>
      <sheetName val="14 NKB"/>
      <sheetName val="Erhöhung RV"/>
      <sheetName val="Soll-Ist-Vergleich"/>
      <sheetName val="Kontrollrechnung int. Rezi"/>
      <sheetName val="Beckenaufteilung"/>
    </sheetNames>
    <sheetDataSet>
      <sheetData sheetId="0">
        <row r="5">
          <cell r="D5">
            <v>1</v>
          </cell>
        </row>
      </sheetData>
      <sheetData sheetId="1"/>
      <sheetData sheetId="2"/>
      <sheetData sheetId="3"/>
      <sheetData sheetId="4"/>
      <sheetData sheetId="5"/>
      <sheetData sheetId="6"/>
      <sheetData sheetId="7">
        <row r="3">
          <cell r="E3">
            <v>420000</v>
          </cell>
        </row>
        <row r="4">
          <cell r="E4">
            <v>52000</v>
          </cell>
        </row>
        <row r="5">
          <cell r="F5">
            <v>2170</v>
          </cell>
        </row>
        <row r="6">
          <cell r="F6">
            <v>6510</v>
          </cell>
        </row>
        <row r="7">
          <cell r="E7">
            <v>54680</v>
          </cell>
        </row>
        <row r="8">
          <cell r="E8">
            <v>22800</v>
          </cell>
        </row>
        <row r="9">
          <cell r="E9">
            <v>4700</v>
          </cell>
        </row>
        <row r="10">
          <cell r="E10">
            <v>0</v>
          </cell>
        </row>
        <row r="11">
          <cell r="E11">
            <v>600</v>
          </cell>
        </row>
        <row r="12">
          <cell r="E12">
            <v>23900</v>
          </cell>
        </row>
        <row r="14">
          <cell r="E14">
            <v>13</v>
          </cell>
        </row>
        <row r="15">
          <cell r="E15">
            <v>1</v>
          </cell>
        </row>
        <row r="19">
          <cell r="E19">
            <v>38276</v>
          </cell>
        </row>
        <row r="20">
          <cell r="E20">
            <v>15959.999999999998</v>
          </cell>
        </row>
        <row r="21">
          <cell r="E21">
            <v>4230</v>
          </cell>
        </row>
        <row r="23">
          <cell r="E23">
            <v>540</v>
          </cell>
        </row>
        <row r="25">
          <cell r="E25">
            <v>736</v>
          </cell>
        </row>
        <row r="26">
          <cell r="H26">
            <v>611</v>
          </cell>
        </row>
        <row r="27">
          <cell r="E27">
            <v>10.4</v>
          </cell>
        </row>
        <row r="28">
          <cell r="E28">
            <v>230</v>
          </cell>
        </row>
      </sheetData>
      <sheetData sheetId="8"/>
      <sheetData sheetId="9">
        <row r="6">
          <cell r="E6">
            <v>405</v>
          </cell>
        </row>
        <row r="7">
          <cell r="E7">
            <v>37</v>
          </cell>
        </row>
        <row r="8">
          <cell r="E8">
            <v>88</v>
          </cell>
        </row>
        <row r="9">
          <cell r="E9">
            <v>206</v>
          </cell>
        </row>
        <row r="10">
          <cell r="E10">
            <v>611</v>
          </cell>
        </row>
        <row r="11">
          <cell r="E11">
            <v>46</v>
          </cell>
        </row>
        <row r="12">
          <cell r="E12">
            <v>184</v>
          </cell>
        </row>
        <row r="13">
          <cell r="E13">
            <v>294</v>
          </cell>
        </row>
        <row r="14">
          <cell r="E14">
            <v>459.48486529564138</v>
          </cell>
        </row>
      </sheetData>
      <sheetData sheetId="10"/>
      <sheetData sheetId="11"/>
      <sheetData sheetId="12">
        <row r="3">
          <cell r="D3">
            <v>46.851153846153835</v>
          </cell>
        </row>
        <row r="4">
          <cell r="D4">
            <v>85.646153846153837</v>
          </cell>
        </row>
        <row r="5">
          <cell r="D5">
            <v>81.34615384615384</v>
          </cell>
        </row>
        <row r="7">
          <cell r="D7">
            <v>0</v>
          </cell>
        </row>
        <row r="8">
          <cell r="D8">
            <v>4.3</v>
          </cell>
        </row>
        <row r="9">
          <cell r="D9">
            <v>2</v>
          </cell>
        </row>
        <row r="10">
          <cell r="D10">
            <v>0.2</v>
          </cell>
        </row>
        <row r="12">
          <cell r="D12">
            <v>9.1</v>
          </cell>
        </row>
        <row r="13">
          <cell r="D13">
            <v>27.494999999999997</v>
          </cell>
        </row>
      </sheetData>
      <sheetData sheetId="13"/>
      <sheetData sheetId="14">
        <row r="3">
          <cell r="D3">
            <v>-3.9474999999999998</v>
          </cell>
        </row>
        <row r="4">
          <cell r="D4">
            <v>0.6</v>
          </cell>
        </row>
        <row r="5">
          <cell r="D5">
            <v>6.11</v>
          </cell>
        </row>
        <row r="6">
          <cell r="D6">
            <v>7.6375000000000002</v>
          </cell>
        </row>
      </sheetData>
      <sheetData sheetId="15"/>
      <sheetData sheetId="16">
        <row r="3">
          <cell r="D3">
            <v>1.4</v>
          </cell>
        </row>
        <row r="6">
          <cell r="D6">
            <v>10</v>
          </cell>
        </row>
        <row r="8">
          <cell r="D8">
            <v>15.384615384615383</v>
          </cell>
        </row>
        <row r="9">
          <cell r="D9">
            <v>0.40735992026573942</v>
          </cell>
        </row>
      </sheetData>
      <sheetData sheetId="17"/>
      <sheetData sheetId="18">
        <row r="5">
          <cell r="F5">
            <v>0</v>
          </cell>
        </row>
        <row r="6">
          <cell r="D6">
            <v>0</v>
          </cell>
        </row>
        <row r="7">
          <cell r="D7">
            <v>0</v>
          </cell>
        </row>
      </sheetData>
      <sheetData sheetId="19"/>
      <sheetData sheetId="20">
        <row r="3">
          <cell r="D3">
            <v>12600</v>
          </cell>
        </row>
        <row r="4">
          <cell r="D4">
            <v>0.8</v>
          </cell>
        </row>
        <row r="6">
          <cell r="D6">
            <v>12768</v>
          </cell>
        </row>
        <row r="8">
          <cell r="D8">
            <v>-204.38599999999974</v>
          </cell>
        </row>
        <row r="9">
          <cell r="D9">
            <v>1.4157087841976326</v>
          </cell>
        </row>
        <row r="11">
          <cell r="D11">
            <v>8</v>
          </cell>
        </row>
      </sheetData>
      <sheetData sheetId="21"/>
      <sheetData sheetId="22">
        <row r="3">
          <cell r="D3">
            <v>193846.15384615381</v>
          </cell>
        </row>
        <row r="5">
          <cell r="D5">
            <v>58846.153846153837</v>
          </cell>
        </row>
        <row r="8">
          <cell r="D8">
            <v>0.27121568627450982</v>
          </cell>
        </row>
        <row r="11">
          <cell r="D11">
            <v>34874.589307439172</v>
          </cell>
        </row>
        <row r="12">
          <cell r="D12">
            <v>23971.564538714661</v>
          </cell>
        </row>
      </sheetData>
      <sheetData sheetId="23"/>
      <sheetData sheetId="24">
        <row r="3">
          <cell r="D3">
            <v>100</v>
          </cell>
        </row>
        <row r="5">
          <cell r="D5">
            <v>2</v>
          </cell>
        </row>
        <row r="7">
          <cell r="D7">
            <v>11.5</v>
          </cell>
        </row>
        <row r="9">
          <cell r="D9">
            <v>8</v>
          </cell>
        </row>
        <row r="10">
          <cell r="D10">
            <v>0.7</v>
          </cell>
        </row>
        <row r="12">
          <cell r="D12">
            <v>3.2941176470588234</v>
          </cell>
        </row>
      </sheetData>
      <sheetData sheetId="25"/>
      <sheetData sheetId="26">
        <row r="4">
          <cell r="D4">
            <v>3</v>
          </cell>
        </row>
        <row r="5">
          <cell r="D5">
            <v>81.34615384615384</v>
          </cell>
        </row>
      </sheetData>
      <sheetData sheetId="27"/>
      <sheetData sheetId="28">
        <row r="4">
          <cell r="E4">
            <v>23903.612995373354</v>
          </cell>
        </row>
        <row r="5">
          <cell r="E5">
            <v>36.800000000000004</v>
          </cell>
        </row>
        <row r="6">
          <cell r="E6">
            <v>239.51513470435864</v>
          </cell>
        </row>
        <row r="7">
          <cell r="E7">
            <v>87.051418380448297</v>
          </cell>
        </row>
        <row r="8">
          <cell r="E8">
            <v>64.463716323910347</v>
          </cell>
        </row>
        <row r="9">
          <cell r="E9">
            <v>12510.677999999998</v>
          </cell>
        </row>
        <row r="11">
          <cell r="E11">
            <v>0</v>
          </cell>
        </row>
        <row r="13">
          <cell r="E13">
            <v>7065.1539999999977</v>
          </cell>
        </row>
        <row r="14">
          <cell r="E14">
            <v>1483.5198331405563</v>
          </cell>
        </row>
        <row r="16">
          <cell r="E16">
            <v>1.1499999999999999</v>
          </cell>
        </row>
        <row r="17">
          <cell r="E17">
            <v>1.5</v>
          </cell>
        </row>
        <row r="19">
          <cell r="E19">
            <v>8.8000000000000007</v>
          </cell>
        </row>
        <row r="20">
          <cell r="E20">
            <v>2</v>
          </cell>
        </row>
      </sheetData>
      <sheetData sheetId="29"/>
      <sheetData sheetId="30">
        <row r="4">
          <cell r="D4">
            <v>8</v>
          </cell>
        </row>
        <row r="5">
          <cell r="D5">
            <v>53.7</v>
          </cell>
        </row>
        <row r="9">
          <cell r="D9">
            <v>-5.9212499999999997</v>
          </cell>
        </row>
      </sheetData>
      <sheetData sheetId="31"/>
      <sheetData sheetId="32">
        <row r="3">
          <cell r="D3">
            <v>1.3660714285714286</v>
          </cell>
        </row>
        <row r="4">
          <cell r="D4">
            <v>450</v>
          </cell>
        </row>
        <row r="5">
          <cell r="D5">
            <v>329.41176470588232</v>
          </cell>
        </row>
      </sheetData>
      <sheetData sheetId="33"/>
      <sheetData sheetId="34">
        <row r="4">
          <cell r="D4">
            <v>0.5</v>
          </cell>
        </row>
        <row r="5">
          <cell r="D5">
            <v>1.7315554511278195</v>
          </cell>
        </row>
        <row r="6">
          <cell r="D6">
            <v>0.68849999999999989</v>
          </cell>
        </row>
        <row r="8">
          <cell r="D8">
            <v>1.58</v>
          </cell>
        </row>
      </sheetData>
      <sheetData sheetId="35"/>
      <sheetData sheetId="36"/>
      <sheetData sheetId="37"/>
      <sheetData sheetId="38"/>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20"/>
  <sheetViews>
    <sheetView zoomScaleNormal="100" workbookViewId="0">
      <pane ySplit="1" topLeftCell="A2" activePane="bottomLeft" state="frozen"/>
      <selection activeCell="A2" sqref="A2:B3"/>
      <selection pane="bottomLeft" activeCell="A2" sqref="A2"/>
    </sheetView>
  </sheetViews>
  <sheetFormatPr baseColWidth="10" defaultRowHeight="12.75" x14ac:dyDescent="0.2"/>
  <cols>
    <col min="1" max="1" width="34.140625" style="2" bestFit="1" customWidth="1"/>
    <col min="2" max="2" width="10.7109375" style="32" customWidth="1"/>
    <col min="3" max="3" width="42.42578125" style="2" customWidth="1"/>
    <col min="4" max="4" width="13.85546875" style="10" customWidth="1"/>
    <col min="5" max="5" width="54.5703125" style="2" customWidth="1"/>
    <col min="6" max="6" width="1.5703125" style="2" customWidth="1"/>
    <col min="7" max="7" width="54.85546875" style="2" customWidth="1"/>
    <col min="8" max="16384" width="11.42578125" style="2"/>
  </cols>
  <sheetData>
    <row r="1" spans="1:8" s="36" customFormat="1" ht="15.75" x14ac:dyDescent="0.2">
      <c r="A1" s="36" t="s">
        <v>137</v>
      </c>
      <c r="B1" s="37"/>
      <c r="D1" s="37"/>
      <c r="G1" s="347"/>
      <c r="H1" s="347"/>
    </row>
    <row r="2" spans="1:8" ht="408.75" customHeight="1" x14ac:dyDescent="0.2">
      <c r="G2" s="167"/>
      <c r="H2" s="167"/>
    </row>
    <row r="3" spans="1:8" s="38" customFormat="1" ht="30" customHeight="1" x14ac:dyDescent="0.2">
      <c r="A3" s="551" t="s">
        <v>146</v>
      </c>
      <c r="B3" s="551"/>
      <c r="C3" s="551"/>
      <c r="D3" s="551"/>
      <c r="E3" s="551"/>
      <c r="G3" s="348"/>
      <c r="H3" s="348"/>
    </row>
    <row r="4" spans="1:8" ht="39.950000000000003" customHeight="1" x14ac:dyDescent="0.2">
      <c r="A4" s="15" t="s">
        <v>97</v>
      </c>
      <c r="B4" s="7" t="s">
        <v>96</v>
      </c>
      <c r="C4" s="15" t="s">
        <v>141</v>
      </c>
      <c r="D4" s="199" t="s">
        <v>160</v>
      </c>
      <c r="E4" s="13" t="s">
        <v>108</v>
      </c>
      <c r="G4" s="167"/>
      <c r="H4" s="167"/>
    </row>
    <row r="5" spans="1:8" s="191" customFormat="1" ht="60" customHeight="1" x14ac:dyDescent="0.2">
      <c r="A5" s="200" t="s">
        <v>286</v>
      </c>
      <c r="B5" s="199" t="s">
        <v>287</v>
      </c>
      <c r="C5" s="200"/>
      <c r="D5" s="74">
        <v>1</v>
      </c>
      <c r="E5" s="200" t="s">
        <v>288</v>
      </c>
      <c r="G5" s="167"/>
      <c r="H5" s="167"/>
    </row>
    <row r="6" spans="1:8" s="191" customFormat="1" ht="60" customHeight="1" x14ac:dyDescent="0.2">
      <c r="A6" s="200" t="s">
        <v>148</v>
      </c>
      <c r="B6" s="199" t="s">
        <v>138</v>
      </c>
      <c r="C6" s="200"/>
      <c r="D6" s="202">
        <f>t_R*Qt</f>
        <v>2170</v>
      </c>
      <c r="E6" s="201" t="s">
        <v>459</v>
      </c>
      <c r="G6" s="167"/>
      <c r="H6" s="167"/>
    </row>
    <row r="7" spans="1:8" s="191" customFormat="1" ht="60" customHeight="1" x14ac:dyDescent="0.2">
      <c r="A7" s="200" t="s">
        <v>139</v>
      </c>
      <c r="B7" s="199" t="s">
        <v>140</v>
      </c>
      <c r="C7" s="200"/>
      <c r="D7" s="203">
        <v>2.5</v>
      </c>
      <c r="E7" s="200" t="s">
        <v>147</v>
      </c>
      <c r="G7" s="167"/>
      <c r="H7" s="167"/>
    </row>
    <row r="8" spans="1:8" ht="60" customHeight="1" x14ac:dyDescent="0.2">
      <c r="A8" s="8" t="s">
        <v>142</v>
      </c>
      <c r="B8" s="7" t="s">
        <v>143</v>
      </c>
      <c r="C8" s="8"/>
      <c r="D8" s="204">
        <f>Qt/D7</f>
        <v>868</v>
      </c>
      <c r="E8" s="8"/>
      <c r="G8" s="173"/>
      <c r="H8" s="167"/>
    </row>
    <row r="9" spans="1:8" s="191" customFormat="1" ht="60" customHeight="1" x14ac:dyDescent="0.2">
      <c r="A9" s="200" t="s">
        <v>142</v>
      </c>
      <c r="B9" s="199" t="s">
        <v>289</v>
      </c>
      <c r="C9" s="200"/>
      <c r="D9" s="204">
        <v>2000</v>
      </c>
      <c r="E9" s="200"/>
      <c r="G9" s="173"/>
      <c r="H9" s="167"/>
    </row>
    <row r="10" spans="1:8" ht="60" customHeight="1" x14ac:dyDescent="0.2">
      <c r="A10" s="8" t="s">
        <v>144</v>
      </c>
      <c r="B10" s="7" t="s">
        <v>145</v>
      </c>
      <c r="C10" s="8"/>
      <c r="D10" s="205">
        <f>D6/D8</f>
        <v>2.5</v>
      </c>
      <c r="E10" s="8"/>
      <c r="G10" s="173"/>
      <c r="H10" s="167"/>
    </row>
    <row r="11" spans="1:8" s="191" customFormat="1" ht="39.950000000000003" customHeight="1" x14ac:dyDescent="0.2">
      <c r="A11" s="200" t="s">
        <v>144</v>
      </c>
      <c r="B11" s="199" t="s">
        <v>290</v>
      </c>
      <c r="C11" s="200"/>
      <c r="D11" s="208">
        <v>8</v>
      </c>
      <c r="E11" s="200"/>
      <c r="G11" s="173"/>
      <c r="H11" s="167"/>
    </row>
    <row r="12" spans="1:8" ht="39.950000000000003" customHeight="1" x14ac:dyDescent="0.2">
      <c r="A12" s="8" t="s">
        <v>152</v>
      </c>
      <c r="B12" s="7" t="s">
        <v>154</v>
      </c>
      <c r="C12" s="42"/>
      <c r="D12" s="206">
        <v>10</v>
      </c>
      <c r="E12" s="42"/>
      <c r="G12" s="173"/>
      <c r="H12" s="167"/>
    </row>
    <row r="13" spans="1:8" ht="57.75" customHeight="1" x14ac:dyDescent="0.2">
      <c r="A13" s="8" t="s">
        <v>151</v>
      </c>
      <c r="B13" s="7" t="s">
        <v>150</v>
      </c>
      <c r="C13" s="8"/>
      <c r="D13" s="207">
        <f>D10*D12</f>
        <v>25</v>
      </c>
      <c r="E13" s="42"/>
      <c r="G13" s="173"/>
      <c r="H13" s="167"/>
    </row>
    <row r="14" spans="1:8" ht="60" customHeight="1" x14ac:dyDescent="0.2">
      <c r="A14" s="8" t="s">
        <v>153</v>
      </c>
      <c r="B14" s="7" t="s">
        <v>155</v>
      </c>
      <c r="C14" s="8"/>
      <c r="D14" s="205">
        <f>10300/D13</f>
        <v>412</v>
      </c>
      <c r="E14" s="42"/>
      <c r="G14" s="173"/>
      <c r="H14" s="167"/>
    </row>
    <row r="15" spans="1:8" ht="30" customHeight="1" x14ac:dyDescent="0.2">
      <c r="A15" s="552" t="s">
        <v>149</v>
      </c>
      <c r="B15" s="553"/>
      <c r="C15" s="553"/>
      <c r="D15" s="553"/>
      <c r="E15" s="554"/>
      <c r="G15" s="173"/>
      <c r="H15" s="167"/>
    </row>
    <row r="16" spans="1:8" ht="63.75" customHeight="1" x14ac:dyDescent="0.2">
      <c r="A16" s="175" t="s">
        <v>148</v>
      </c>
      <c r="B16" s="155" t="s">
        <v>138</v>
      </c>
      <c r="C16" s="209"/>
      <c r="D16" s="210">
        <v>10300</v>
      </c>
      <c r="E16" s="175"/>
      <c r="G16" s="173"/>
      <c r="H16" s="167"/>
    </row>
    <row r="17" spans="1:8" ht="60" customHeight="1" x14ac:dyDescent="0.2">
      <c r="A17" s="175" t="s">
        <v>156</v>
      </c>
      <c r="B17" s="155" t="s">
        <v>157</v>
      </c>
      <c r="C17" s="175"/>
      <c r="D17" s="211">
        <f>D16/(Qt)</f>
        <v>4.7465437788018434</v>
      </c>
      <c r="E17" s="175"/>
      <c r="G17" s="167"/>
      <c r="H17" s="167"/>
    </row>
    <row r="18" spans="1:8" ht="60" customHeight="1" x14ac:dyDescent="0.2">
      <c r="A18" s="175" t="s">
        <v>159</v>
      </c>
      <c r="B18" s="155" t="s">
        <v>158</v>
      </c>
      <c r="C18" s="175"/>
      <c r="D18" s="211">
        <f>D16/(Qm)</f>
        <v>1.5821812596006144</v>
      </c>
      <c r="E18" s="175"/>
    </row>
    <row r="19" spans="1:8" ht="39.75" customHeight="1" x14ac:dyDescent="0.2">
      <c r="A19" s="212" t="s">
        <v>293</v>
      </c>
      <c r="B19" s="155" t="s">
        <v>294</v>
      </c>
      <c r="C19" s="213"/>
      <c r="D19" s="215">
        <f>D12/D14</f>
        <v>2.4271844660194174E-2</v>
      </c>
      <c r="E19" s="213" t="s">
        <v>295</v>
      </c>
    </row>
    <row r="20" spans="1:8" ht="39.950000000000003" customHeight="1" x14ac:dyDescent="0.2">
      <c r="A20" s="214" t="s">
        <v>292</v>
      </c>
      <c r="B20" s="155" t="s">
        <v>291</v>
      </c>
      <c r="C20" s="213"/>
      <c r="D20" s="215">
        <f>D11/D14</f>
        <v>1.9417475728155338E-2</v>
      </c>
      <c r="E20" s="213" t="s">
        <v>296</v>
      </c>
    </row>
  </sheetData>
  <mergeCells count="2">
    <mergeCell ref="A3:E3"/>
    <mergeCell ref="A15:E15"/>
  </mergeCells>
  <pageMargins left="0.7" right="0.7" top="0.78740157499999996" bottom="0.78740157499999996" header="0.3" footer="0.3"/>
  <pageSetup paperSize="9" orientation="portrait" horizontalDpi="4294967293"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6FFFF"/>
    <pageSetUpPr fitToPage="1"/>
  </sheetPr>
  <dimension ref="A1:N17"/>
  <sheetViews>
    <sheetView showGridLines="0" zoomScaleNormal="100" workbookViewId="0">
      <pane ySplit="2" topLeftCell="A7" activePane="bottomLeft" state="frozen"/>
      <selection activeCell="A2" sqref="A2:B3"/>
      <selection pane="bottomLeft" activeCell="E14" sqref="E14"/>
    </sheetView>
  </sheetViews>
  <sheetFormatPr baseColWidth="10" defaultRowHeight="12.75" x14ac:dyDescent="0.2"/>
  <cols>
    <col min="1" max="1" width="40.42578125" style="3" customWidth="1"/>
    <col min="2" max="2" width="11.42578125" style="35"/>
    <col min="3" max="3" width="14.140625" style="223" customWidth="1"/>
    <col min="4" max="4" width="95.85546875" style="2" customWidth="1"/>
    <col min="5" max="5" width="12.7109375" style="236" customWidth="1"/>
    <col min="6" max="6" width="60.7109375" style="217" customWidth="1"/>
    <col min="7" max="7" width="11.42578125" style="217"/>
    <col min="8" max="16384" width="11.42578125" style="2"/>
  </cols>
  <sheetData>
    <row r="1" spans="1:14" s="241" customFormat="1" ht="60" customHeight="1" x14ac:dyDescent="0.2">
      <c r="A1" s="612" t="s">
        <v>374</v>
      </c>
      <c r="B1" s="613"/>
      <c r="C1" s="613"/>
      <c r="D1" s="613"/>
      <c r="E1" s="613"/>
      <c r="F1" s="613"/>
    </row>
    <row r="2" spans="1:14" s="222" customFormat="1" ht="60" customHeight="1" x14ac:dyDescent="0.2">
      <c r="A2" s="324" t="s">
        <v>97</v>
      </c>
      <c r="B2" s="325" t="s">
        <v>96</v>
      </c>
      <c r="C2" s="325" t="s">
        <v>301</v>
      </c>
      <c r="D2" s="324" t="s">
        <v>162</v>
      </c>
      <c r="E2" s="325" t="s">
        <v>160</v>
      </c>
      <c r="F2" s="324" t="s">
        <v>108</v>
      </c>
    </row>
    <row r="3" spans="1:14" ht="80.099999999999994" customHeight="1" x14ac:dyDescent="0.2">
      <c r="A3" s="218" t="s">
        <v>98</v>
      </c>
      <c r="B3" s="226" t="s">
        <v>48</v>
      </c>
      <c r="C3" s="226">
        <v>1</v>
      </c>
      <c r="D3" s="514" t="s">
        <v>578</v>
      </c>
      <c r="E3" s="221">
        <f>CCSB_ZB</f>
        <v>736</v>
      </c>
      <c r="F3" s="227" t="s">
        <v>307</v>
      </c>
    </row>
    <row r="4" spans="1:14" s="224" customFormat="1" ht="60" customHeight="1" x14ac:dyDescent="0.2">
      <c r="A4" s="228" t="s">
        <v>63</v>
      </c>
      <c r="B4" s="226" t="s">
        <v>18</v>
      </c>
      <c r="C4" s="226">
        <v>2</v>
      </c>
      <c r="D4" s="514" t="s">
        <v>578</v>
      </c>
      <c r="E4" s="515">
        <f>XTS_ZB</f>
        <v>230</v>
      </c>
      <c r="F4" s="227" t="s">
        <v>65</v>
      </c>
    </row>
    <row r="5" spans="1:14" ht="50.1" customHeight="1" x14ac:dyDescent="0.2">
      <c r="A5" s="219" t="s">
        <v>300</v>
      </c>
      <c r="B5" s="226" t="s">
        <v>47</v>
      </c>
      <c r="C5" s="226">
        <v>7</v>
      </c>
      <c r="D5" s="229" t="s">
        <v>306</v>
      </c>
      <c r="E5" s="254">
        <f>CCSB_ZB-XCSB_ZB</f>
        <v>442</v>
      </c>
      <c r="F5" s="227" t="s">
        <v>305</v>
      </c>
    </row>
    <row r="6" spans="1:14" ht="50.1" customHeight="1" x14ac:dyDescent="0.2">
      <c r="A6" s="219" t="s">
        <v>68</v>
      </c>
      <c r="B6" s="226" t="s">
        <v>67</v>
      </c>
      <c r="C6" s="226">
        <v>8</v>
      </c>
      <c r="D6" s="229" t="s">
        <v>302</v>
      </c>
      <c r="E6" s="254">
        <f>CCSB_ZB-SCSB_inert_ZB-XCSB_inert_ZB-XCSB_abb_ZB</f>
        <v>405</v>
      </c>
      <c r="F6" s="227" t="s">
        <v>309</v>
      </c>
    </row>
    <row r="7" spans="1:14" s="241" customFormat="1" ht="80.099999999999994" customHeight="1" x14ac:dyDescent="0.35">
      <c r="A7" s="245" t="s">
        <v>297</v>
      </c>
      <c r="B7" s="245" t="s">
        <v>298</v>
      </c>
      <c r="C7" s="482">
        <v>3</v>
      </c>
      <c r="D7" s="233" t="s">
        <v>552</v>
      </c>
      <c r="E7" s="254">
        <f>ROUND(CCSB_ZB*0.05,0)</f>
        <v>37</v>
      </c>
      <c r="F7" s="244" t="s">
        <v>498</v>
      </c>
    </row>
    <row r="8" spans="1:14" s="241" customFormat="1" ht="80.099999999999994" customHeight="1" x14ac:dyDescent="0.35">
      <c r="A8" s="245" t="s">
        <v>70</v>
      </c>
      <c r="B8" s="482" t="s">
        <v>50</v>
      </c>
      <c r="C8" s="482">
        <v>9</v>
      </c>
      <c r="D8" s="233" t="s">
        <v>553</v>
      </c>
      <c r="E8" s="254">
        <f>ROUND(XCSB_ZB*0.3,0)</f>
        <v>88</v>
      </c>
      <c r="F8" s="244" t="s">
        <v>497</v>
      </c>
    </row>
    <row r="9" spans="1:14" ht="50.1" customHeight="1" x14ac:dyDescent="0.2">
      <c r="A9" s="219" t="s">
        <v>69</v>
      </c>
      <c r="B9" s="226" t="s">
        <v>71</v>
      </c>
      <c r="C9" s="226">
        <v>10</v>
      </c>
      <c r="D9" s="232" t="s">
        <v>308</v>
      </c>
      <c r="E9" s="254">
        <f>XCSB_ZB-XCSB_inert_ZB</f>
        <v>206</v>
      </c>
      <c r="F9" s="483"/>
      <c r="G9" s="484"/>
      <c r="H9" s="484"/>
      <c r="I9" s="484"/>
      <c r="J9" s="484"/>
      <c r="K9" s="484"/>
      <c r="L9" s="484"/>
      <c r="M9" s="484"/>
      <c r="N9" s="484"/>
    </row>
    <row r="10" spans="1:14" ht="60" customHeight="1" x14ac:dyDescent="0.2">
      <c r="A10" s="219" t="s">
        <v>312</v>
      </c>
      <c r="B10" s="226" t="s">
        <v>51</v>
      </c>
      <c r="C10" s="226">
        <v>11</v>
      </c>
      <c r="D10" s="227"/>
      <c r="E10" s="254">
        <f>CCSB_ZB-SCSB_inert_ZB-XCSB_inert_ZB</f>
        <v>611</v>
      </c>
      <c r="F10" s="245"/>
    </row>
    <row r="11" spans="1:14" ht="79.5" customHeight="1" x14ac:dyDescent="0.35">
      <c r="A11" s="219" t="s">
        <v>64</v>
      </c>
      <c r="B11" s="226" t="s">
        <v>52</v>
      </c>
      <c r="C11" s="226">
        <v>4</v>
      </c>
      <c r="D11" s="233" t="s">
        <v>554</v>
      </c>
      <c r="E11" s="254">
        <f>XTS_ZB*0.2</f>
        <v>46</v>
      </c>
      <c r="F11" s="227" t="s">
        <v>499</v>
      </c>
    </row>
    <row r="12" spans="1:14" ht="50.1" customHeight="1" x14ac:dyDescent="0.2">
      <c r="A12" s="219" t="s">
        <v>311</v>
      </c>
      <c r="B12" s="226" t="s">
        <v>72</v>
      </c>
      <c r="C12" s="226">
        <v>5</v>
      </c>
      <c r="D12" s="229" t="s">
        <v>303</v>
      </c>
      <c r="E12" s="254">
        <f>XTS_ZB-XanorgTS_ZB</f>
        <v>184</v>
      </c>
      <c r="F12" s="231"/>
    </row>
    <row r="13" spans="1:14" ht="80.099999999999994" customHeight="1" x14ac:dyDescent="0.25">
      <c r="A13" s="180" t="s">
        <v>310</v>
      </c>
      <c r="B13" s="155" t="s">
        <v>49</v>
      </c>
      <c r="C13" s="155">
        <v>6</v>
      </c>
      <c r="D13" s="364"/>
      <c r="E13" s="343">
        <f>ROUND(XorgTS_ZB*1.6,0)</f>
        <v>294</v>
      </c>
      <c r="F13" s="175" t="s">
        <v>557</v>
      </c>
    </row>
    <row r="14" spans="1:14" s="224" customFormat="1" ht="60" customHeight="1" x14ac:dyDescent="0.2">
      <c r="A14" s="252" t="s">
        <v>313</v>
      </c>
      <c r="B14" s="246" t="s">
        <v>314</v>
      </c>
      <c r="C14" s="246">
        <v>12</v>
      </c>
      <c r="D14" s="253" t="s">
        <v>315</v>
      </c>
      <c r="E14" s="254">
        <f>CCSB_ZB-SCSB_inert_ZB-XCSB_ÜS</f>
        <v>460</v>
      </c>
      <c r="F14" s="248"/>
    </row>
    <row r="15" spans="1:14" s="33" customFormat="1" ht="120" customHeight="1" x14ac:dyDescent="0.2">
      <c r="A15" s="154" t="s">
        <v>242</v>
      </c>
      <c r="B15" s="155" t="s">
        <v>48</v>
      </c>
      <c r="C15" s="155">
        <v>13</v>
      </c>
      <c r="D15" s="342" t="s">
        <v>336</v>
      </c>
      <c r="E15" s="343">
        <f>SCSB_inert_AN+XCSB_ÜS+OV</f>
        <v>736</v>
      </c>
      <c r="F15" s="175" t="s">
        <v>53</v>
      </c>
      <c r="G15" s="220"/>
    </row>
    <row r="16" spans="1:14" ht="50.1" customHeight="1" x14ac:dyDescent="0.2"/>
    <row r="17" ht="50.1" customHeight="1" x14ac:dyDescent="0.2"/>
  </sheetData>
  <mergeCells count="1">
    <mergeCell ref="A1:F1"/>
  </mergeCells>
  <pageMargins left="0.70866141732283472" right="0.70866141732283472" top="0.78740157480314965" bottom="0.78740157480314965" header="0.31496062992125984" footer="0.31496062992125984"/>
  <pageSetup paperSize="9" scale="48" orientation="landscape" horizontalDpi="4294967293" verticalDpi="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9D765-950B-4E09-A515-7D96DA27AD84}">
  <sheetPr>
    <tabColor rgb="FF66FFFF"/>
    <pageSetUpPr fitToPage="1"/>
  </sheetPr>
  <dimension ref="A1:O39"/>
  <sheetViews>
    <sheetView showGridLines="0" workbookViewId="0">
      <selection sqref="A1:M1"/>
    </sheetView>
  </sheetViews>
  <sheetFormatPr baseColWidth="10" defaultRowHeight="20.100000000000001" customHeight="1" x14ac:dyDescent="0.2"/>
  <cols>
    <col min="1" max="1" width="11.42578125" style="380"/>
    <col min="2" max="15" width="15.7109375" style="380" customWidth="1"/>
    <col min="16" max="16384" width="11.42578125" style="380"/>
  </cols>
  <sheetData>
    <row r="1" spans="1:15" ht="29.25" customHeight="1" thickBot="1" x14ac:dyDescent="0.25">
      <c r="A1" s="577" t="s">
        <v>575</v>
      </c>
      <c r="B1" s="578"/>
      <c r="C1" s="578"/>
      <c r="D1" s="578"/>
      <c r="E1" s="579"/>
      <c r="F1" s="578"/>
      <c r="G1" s="578"/>
      <c r="H1" s="578"/>
      <c r="I1" s="578"/>
      <c r="J1" s="578"/>
      <c r="K1" s="579"/>
      <c r="L1" s="578"/>
      <c r="M1" s="580"/>
    </row>
    <row r="2" spans="1:15" s="384" customFormat="1" ht="45" x14ac:dyDescent="0.2">
      <c r="A2" s="381"/>
      <c r="B2" s="443"/>
      <c r="C2" s="443"/>
      <c r="D2" s="443"/>
      <c r="E2" s="444" t="s">
        <v>424</v>
      </c>
      <c r="F2" s="443"/>
      <c r="G2" s="443"/>
      <c r="H2" s="443"/>
      <c r="I2" s="443"/>
      <c r="J2" s="443"/>
      <c r="K2" s="444" t="s">
        <v>433</v>
      </c>
      <c r="L2" s="443"/>
      <c r="M2" s="383"/>
    </row>
    <row r="3" spans="1:15" s="384" customFormat="1" ht="20.100000000000001" customHeight="1" x14ac:dyDescent="0.2">
      <c r="A3" s="381"/>
      <c r="B3" s="443"/>
      <c r="C3" s="443"/>
      <c r="D3" s="443"/>
      <c r="E3" s="445">
        <f>CCSB_ZB</f>
        <v>736</v>
      </c>
      <c r="F3" s="443"/>
      <c r="G3" s="443"/>
      <c r="H3" s="443"/>
      <c r="I3" s="443"/>
      <c r="J3" s="443"/>
      <c r="K3" s="446">
        <f>XTS_ZB</f>
        <v>230</v>
      </c>
      <c r="L3" s="443"/>
      <c r="M3" s="383"/>
      <c r="N3" s="385"/>
      <c r="O3" s="385"/>
    </row>
    <row r="4" spans="1:15" s="384" customFormat="1" ht="20.100000000000001" customHeight="1" x14ac:dyDescent="0.2">
      <c r="A4" s="381"/>
      <c r="B4" s="443"/>
      <c r="C4" s="443"/>
      <c r="D4" s="443"/>
      <c r="E4" s="443"/>
      <c r="F4" s="443"/>
      <c r="G4" s="443"/>
      <c r="H4" s="443"/>
      <c r="I4" s="443"/>
      <c r="J4" s="443"/>
      <c r="K4" s="443"/>
      <c r="L4" s="443"/>
      <c r="M4" s="383"/>
      <c r="N4" s="385"/>
      <c r="O4" s="385"/>
    </row>
    <row r="5" spans="1:15" s="384" customFormat="1" ht="20.100000000000001" customHeight="1" x14ac:dyDescent="0.2">
      <c r="A5" s="381"/>
      <c r="B5" s="443"/>
      <c r="C5" s="443"/>
      <c r="D5" s="447"/>
      <c r="E5" s="443"/>
      <c r="F5" s="448"/>
      <c r="G5" s="443"/>
      <c r="H5" s="443"/>
      <c r="I5" s="443"/>
      <c r="J5" s="443"/>
      <c r="K5" s="443"/>
      <c r="L5" s="449">
        <f>0.2</f>
        <v>0.2</v>
      </c>
      <c r="M5" s="383"/>
      <c r="N5" s="385"/>
      <c r="O5" s="385"/>
    </row>
    <row r="6" spans="1:15" s="384" customFormat="1" ht="20.100000000000001" customHeight="1" x14ac:dyDescent="0.2">
      <c r="A6" s="381"/>
      <c r="B6" s="443"/>
      <c r="C6" s="443"/>
      <c r="D6" s="443"/>
      <c r="E6" s="443"/>
      <c r="F6" s="443"/>
      <c r="G6" s="443"/>
      <c r="H6" s="443"/>
      <c r="I6" s="443"/>
      <c r="J6" s="443"/>
      <c r="K6" s="443"/>
      <c r="L6" s="443"/>
      <c r="M6" s="383"/>
      <c r="N6" s="385"/>
      <c r="O6" s="385"/>
    </row>
    <row r="7" spans="1:15" s="384" customFormat="1" ht="42.75" x14ac:dyDescent="0.25">
      <c r="A7" s="381"/>
      <c r="B7" s="443"/>
      <c r="C7" s="450" t="s">
        <v>511</v>
      </c>
      <c r="D7" s="443"/>
      <c r="E7" s="491">
        <v>0.05</v>
      </c>
      <c r="F7" s="443"/>
      <c r="G7" s="450" t="s">
        <v>512</v>
      </c>
      <c r="H7" s="581" t="s">
        <v>513</v>
      </c>
      <c r="I7" s="582"/>
      <c r="J7" s="450" t="s">
        <v>514</v>
      </c>
      <c r="K7" s="443"/>
      <c r="L7" s="450" t="s">
        <v>515</v>
      </c>
      <c r="M7" s="383"/>
      <c r="N7" s="385"/>
      <c r="O7" s="385"/>
    </row>
    <row r="8" spans="1:15" s="384" customFormat="1" ht="20.100000000000001" customHeight="1" x14ac:dyDescent="0.2">
      <c r="A8" s="381"/>
      <c r="B8" s="443"/>
      <c r="C8" s="452">
        <f>E3-G8</f>
        <v>441.59999999999997</v>
      </c>
      <c r="D8" s="443"/>
      <c r="E8" s="443"/>
      <c r="F8" s="443"/>
      <c r="G8" s="452">
        <f>J8*1.6</f>
        <v>294.40000000000003</v>
      </c>
      <c r="H8" s="443"/>
      <c r="I8" s="443"/>
      <c r="J8" s="453">
        <f>K3-L8</f>
        <v>184</v>
      </c>
      <c r="K8" s="443"/>
      <c r="L8" s="453">
        <f>XanorgTS_ZB</f>
        <v>46</v>
      </c>
      <c r="M8" s="383"/>
    </row>
    <row r="9" spans="1:15" s="384" customFormat="1" ht="20.100000000000001" customHeight="1" x14ac:dyDescent="0.2">
      <c r="A9" s="381"/>
      <c r="B9" s="583"/>
      <c r="C9" s="443"/>
      <c r="D9" s="585"/>
      <c r="E9" s="443"/>
      <c r="F9" s="443"/>
      <c r="G9" s="443"/>
      <c r="H9" s="587">
        <f>0.3</f>
        <v>0.3</v>
      </c>
      <c r="I9" s="443"/>
      <c r="J9" s="454">
        <f>J8/K3</f>
        <v>0.8</v>
      </c>
      <c r="K9" s="443"/>
      <c r="L9" s="454">
        <f>L8/K3</f>
        <v>0.2</v>
      </c>
      <c r="M9" s="383"/>
    </row>
    <row r="10" spans="1:15" s="384" customFormat="1" ht="20.100000000000001" customHeight="1" x14ac:dyDescent="0.2">
      <c r="A10" s="381"/>
      <c r="B10" s="584"/>
      <c r="C10" s="443"/>
      <c r="D10" s="586"/>
      <c r="E10" s="443"/>
      <c r="F10" s="455"/>
      <c r="G10" s="455"/>
      <c r="H10" s="588"/>
      <c r="I10" s="443"/>
      <c r="J10" s="443"/>
      <c r="K10" s="443"/>
      <c r="L10" s="443"/>
      <c r="M10" s="383"/>
    </row>
    <row r="11" spans="1:15" s="384" customFormat="1" ht="42.75" x14ac:dyDescent="0.2">
      <c r="A11" s="381"/>
      <c r="B11" s="450" t="s">
        <v>516</v>
      </c>
      <c r="C11" s="443"/>
      <c r="D11" s="450" t="s">
        <v>517</v>
      </c>
      <c r="E11" s="443"/>
      <c r="F11" s="450" t="s">
        <v>518</v>
      </c>
      <c r="G11" s="455"/>
      <c r="H11" s="450" t="s">
        <v>519</v>
      </c>
      <c r="I11" s="443"/>
      <c r="J11" s="443"/>
      <c r="K11" s="443"/>
      <c r="L11" s="443"/>
      <c r="M11" s="383"/>
    </row>
    <row r="12" spans="1:15" s="384" customFormat="1" ht="20.100000000000001" customHeight="1" x14ac:dyDescent="0.2">
      <c r="A12" s="381"/>
      <c r="B12" s="452">
        <f>C8-D12</f>
        <v>404.59999999999997</v>
      </c>
      <c r="C12" s="443"/>
      <c r="D12" s="452">
        <f>ROUND(E3*0.05,0)</f>
        <v>37</v>
      </c>
      <c r="E12" s="443"/>
      <c r="F12" s="452">
        <f>G8-H12</f>
        <v>206.40000000000003</v>
      </c>
      <c r="G12" s="443"/>
      <c r="H12" s="452">
        <f>ROUND(G8*0.3,0)</f>
        <v>88</v>
      </c>
      <c r="I12" s="443"/>
      <c r="J12" s="443"/>
      <c r="K12" s="443"/>
      <c r="L12" s="443"/>
      <c r="M12" s="383"/>
    </row>
    <row r="13" spans="1:15" s="384" customFormat="1" ht="20.100000000000001" customHeight="1" x14ac:dyDescent="0.2">
      <c r="A13" s="381"/>
      <c r="B13" s="454">
        <f>B12/$E$3</f>
        <v>0.54972826086956517</v>
      </c>
      <c r="C13" s="443"/>
      <c r="D13" s="454">
        <f>D12/$E$3</f>
        <v>5.0271739130434784E-2</v>
      </c>
      <c r="E13" s="443"/>
      <c r="F13" s="454">
        <f>F12/$E$3</f>
        <v>0.2804347826086957</v>
      </c>
      <c r="G13" s="443"/>
      <c r="H13" s="454">
        <f>H12/$E$3</f>
        <v>0.11956521739130435</v>
      </c>
      <c r="I13" s="443"/>
      <c r="J13" s="443"/>
      <c r="K13" s="443"/>
      <c r="L13" s="443"/>
      <c r="M13" s="383"/>
    </row>
    <row r="14" spans="1:15" s="384" customFormat="1" ht="20.100000000000001" customHeight="1" x14ac:dyDescent="0.2">
      <c r="A14" s="381"/>
      <c r="B14" s="456"/>
      <c r="C14" s="443"/>
      <c r="D14" s="456"/>
      <c r="E14" s="443"/>
      <c r="F14" s="456"/>
      <c r="G14" s="443"/>
      <c r="H14" s="456"/>
      <c r="I14" s="443"/>
      <c r="J14" s="443"/>
      <c r="K14" s="443"/>
      <c r="L14" s="443"/>
      <c r="M14" s="383"/>
    </row>
    <row r="15" spans="1:15" s="384" customFormat="1" ht="20.100000000000001" customHeight="1" x14ac:dyDescent="0.2">
      <c r="A15" s="381"/>
      <c r="B15" s="456"/>
      <c r="C15" s="443"/>
      <c r="D15" s="456"/>
      <c r="E15" s="443"/>
      <c r="F15" s="457"/>
      <c r="G15" s="458"/>
      <c r="H15" s="456"/>
      <c r="I15" s="443"/>
      <c r="J15" s="443"/>
      <c r="K15" s="443"/>
      <c r="L15" s="443"/>
      <c r="M15" s="383"/>
    </row>
    <row r="16" spans="1:15" s="384" customFormat="1" ht="20.100000000000001" customHeight="1" x14ac:dyDescent="0.2">
      <c r="A16" s="381"/>
      <c r="B16" s="456"/>
      <c r="C16" s="443"/>
      <c r="D16" s="456"/>
      <c r="E16" s="443"/>
      <c r="F16" s="456"/>
      <c r="G16" s="443"/>
      <c r="H16" s="456"/>
      <c r="I16" s="443"/>
      <c r="J16" s="443"/>
      <c r="K16" s="443"/>
      <c r="L16" s="443"/>
      <c r="M16" s="383"/>
    </row>
    <row r="17" spans="1:14" s="384" customFormat="1" ht="20.100000000000001" customHeight="1" x14ac:dyDescent="0.2">
      <c r="A17" s="381"/>
      <c r="B17" s="456"/>
      <c r="C17" s="443"/>
      <c r="D17" s="459">
        <f>B12+F12</f>
        <v>611</v>
      </c>
      <c r="E17" s="443"/>
      <c r="F17" s="456"/>
      <c r="G17" s="443"/>
      <c r="H17" s="456"/>
      <c r="I17" s="443"/>
      <c r="J17" s="443"/>
      <c r="K17" s="443"/>
      <c r="L17" s="443"/>
      <c r="M17" s="383"/>
    </row>
    <row r="18" spans="1:14" s="384" customFormat="1" ht="20.100000000000001" customHeight="1" x14ac:dyDescent="0.2">
      <c r="A18" s="381"/>
      <c r="B18" s="456"/>
      <c r="C18" s="443"/>
      <c r="D18" s="460" t="s">
        <v>520</v>
      </c>
      <c r="E18" s="443"/>
      <c r="F18" s="456"/>
      <c r="G18" s="443"/>
      <c r="H18" s="456"/>
      <c r="I18" s="443"/>
      <c r="J18" s="443"/>
      <c r="K18" s="443"/>
      <c r="L18" s="443"/>
      <c r="M18" s="383"/>
    </row>
    <row r="19" spans="1:14" s="384" customFormat="1" ht="20.100000000000001" customHeight="1" thickBot="1" x14ac:dyDescent="0.25">
      <c r="A19" s="386"/>
      <c r="B19" s="387"/>
      <c r="C19" s="387"/>
      <c r="D19" s="387"/>
      <c r="E19" s="382"/>
      <c r="F19" s="387"/>
      <c r="G19" s="387"/>
      <c r="H19" s="387"/>
      <c r="I19" s="387"/>
      <c r="J19" s="387"/>
      <c r="K19" s="387"/>
      <c r="L19" s="387"/>
      <c r="M19" s="388"/>
    </row>
    <row r="20" spans="1:14" ht="20.100000000000001" customHeight="1" x14ac:dyDescent="0.2">
      <c r="A20" s="389"/>
      <c r="B20" s="390"/>
      <c r="C20" s="390"/>
      <c r="D20" s="390"/>
      <c r="E20" s="501" t="s">
        <v>424</v>
      </c>
      <c r="F20" s="390"/>
      <c r="G20" s="390"/>
      <c r="H20" s="390"/>
      <c r="I20" s="391"/>
      <c r="J20" s="462"/>
      <c r="K20" s="463"/>
      <c r="L20" s="463"/>
      <c r="M20" s="464"/>
      <c r="N20" s="464"/>
    </row>
    <row r="21" spans="1:14" ht="20.100000000000001" customHeight="1" x14ac:dyDescent="0.2">
      <c r="A21" s="392"/>
      <c r="B21" s="465"/>
      <c r="C21" s="465"/>
      <c r="D21" s="465"/>
      <c r="E21" s="504">
        <f>E3</f>
        <v>736</v>
      </c>
      <c r="F21" s="465"/>
      <c r="G21" s="465"/>
      <c r="H21" s="465"/>
      <c r="I21" s="393"/>
      <c r="J21" s="473"/>
    </row>
    <row r="22" spans="1:14" ht="20.100000000000001" customHeight="1" x14ac:dyDescent="0.2">
      <c r="A22" s="392"/>
      <c r="B22" s="465"/>
      <c r="C22" s="465"/>
      <c r="D22" s="465"/>
      <c r="E22" s="465"/>
      <c r="F22" s="465"/>
      <c r="G22" s="465"/>
      <c r="H22" s="465"/>
      <c r="I22" s="393"/>
      <c r="J22" s="473"/>
      <c r="K22" s="475"/>
      <c r="L22" s="475"/>
      <c r="M22" s="475"/>
    </row>
    <row r="23" spans="1:14" ht="20.100000000000001" customHeight="1" x14ac:dyDescent="0.2">
      <c r="A23" s="392"/>
      <c r="B23" s="465"/>
      <c r="C23" s="465"/>
      <c r="D23" s="465"/>
      <c r="E23" s="465"/>
      <c r="F23" s="465"/>
      <c r="G23" s="465"/>
      <c r="H23" s="465"/>
      <c r="I23" s="393"/>
      <c r="J23" s="473"/>
      <c r="K23" s="475"/>
      <c r="L23" s="475"/>
      <c r="M23" s="475"/>
    </row>
    <row r="24" spans="1:14" ht="20.100000000000001" customHeight="1" x14ac:dyDescent="0.2">
      <c r="A24" s="392"/>
      <c r="B24" s="465"/>
      <c r="C24" s="465"/>
      <c r="D24" s="465"/>
      <c r="E24" s="465"/>
      <c r="F24" s="465"/>
      <c r="G24" s="465"/>
      <c r="H24" s="465"/>
      <c r="I24" s="393"/>
      <c r="J24" s="473"/>
      <c r="K24" s="475"/>
      <c r="L24" s="475"/>
      <c r="M24" s="475"/>
    </row>
    <row r="25" spans="1:14" ht="28.5" x14ac:dyDescent="0.2">
      <c r="A25" s="392"/>
      <c r="B25" s="465"/>
      <c r="C25" s="501" t="s">
        <v>520</v>
      </c>
      <c r="D25" s="465"/>
      <c r="E25" s="465"/>
      <c r="F25" s="465"/>
      <c r="G25" s="502" t="s">
        <v>523</v>
      </c>
      <c r="H25" s="465"/>
      <c r="I25" s="393"/>
      <c r="J25" s="473"/>
      <c r="K25" s="475"/>
      <c r="L25" s="475"/>
      <c r="M25" s="475"/>
    </row>
    <row r="26" spans="1:14" ht="20.100000000000001" customHeight="1" x14ac:dyDescent="0.2">
      <c r="A26" s="392"/>
      <c r="B26" s="465"/>
      <c r="C26" s="499">
        <f>B13+F13</f>
        <v>0.83016304347826086</v>
      </c>
      <c r="D26" s="465"/>
      <c r="E26" s="465"/>
      <c r="F26" s="465"/>
      <c r="G26" s="499">
        <f>1-C26</f>
        <v>0.16983695652173914</v>
      </c>
      <c r="H26" s="465"/>
      <c r="I26" s="393"/>
      <c r="J26" s="473"/>
      <c r="K26" s="475"/>
      <c r="L26" s="475"/>
      <c r="M26" s="475"/>
    </row>
    <row r="27" spans="1:14" ht="20.100000000000001" customHeight="1" x14ac:dyDescent="0.2">
      <c r="A27" s="392"/>
      <c r="B27" s="465"/>
      <c r="C27" s="466">
        <f>E21*C26</f>
        <v>611</v>
      </c>
      <c r="D27" s="465"/>
      <c r="E27" s="465"/>
      <c r="F27" s="465"/>
      <c r="G27" s="466">
        <f>E21*G26</f>
        <v>125</v>
      </c>
      <c r="H27" s="465"/>
      <c r="I27" s="393"/>
      <c r="J27" s="473"/>
      <c r="K27" s="475"/>
      <c r="L27" s="475"/>
      <c r="M27" s="475"/>
    </row>
    <row r="28" spans="1:14" ht="20.100000000000001" customHeight="1" x14ac:dyDescent="0.2">
      <c r="A28" s="392"/>
      <c r="B28" s="465"/>
      <c r="C28" s="465"/>
      <c r="D28" s="465"/>
      <c r="E28" s="465"/>
      <c r="F28" s="465"/>
      <c r="G28" s="465"/>
      <c r="H28" s="465"/>
      <c r="I28" s="393"/>
      <c r="K28" s="475"/>
      <c r="L28" s="475"/>
      <c r="M28" s="475"/>
    </row>
    <row r="29" spans="1:14" ht="19.5" customHeight="1" x14ac:dyDescent="0.2">
      <c r="A29" s="392"/>
      <c r="B29" s="465"/>
      <c r="C29" s="465"/>
      <c r="D29" s="465"/>
      <c r="E29" s="465"/>
      <c r="F29" s="465"/>
      <c r="G29" s="465"/>
      <c r="H29" s="465"/>
      <c r="I29" s="393"/>
    </row>
    <row r="30" spans="1:14" ht="50.25" customHeight="1" x14ac:dyDescent="0.2">
      <c r="A30" s="392"/>
      <c r="B30" s="500" t="s">
        <v>527</v>
      </c>
      <c r="C30" s="465"/>
      <c r="D30" s="501" t="s">
        <v>528</v>
      </c>
      <c r="E30" s="465"/>
      <c r="F30" s="502" t="s">
        <v>529</v>
      </c>
      <c r="G30" s="465"/>
      <c r="H30" s="502" t="s">
        <v>530</v>
      </c>
      <c r="I30" s="393"/>
    </row>
    <row r="31" spans="1:14" ht="20.100000000000001" customHeight="1" x14ac:dyDescent="0.2">
      <c r="A31" s="392"/>
      <c r="B31" s="499">
        <f>(F13*E3)/(C26*E3)</f>
        <v>0.33780687397708681</v>
      </c>
      <c r="C31" s="465"/>
      <c r="D31" s="499">
        <f>1-B31</f>
        <v>0.66219312602291325</v>
      </c>
      <c r="E31" s="465"/>
      <c r="F31" s="499">
        <f>(H13*E3)/(G26*E3)</f>
        <v>0.70399999999999996</v>
      </c>
      <c r="G31" s="465"/>
      <c r="H31" s="499">
        <f>1-F31</f>
        <v>0.29600000000000004</v>
      </c>
      <c r="I31" s="393"/>
    </row>
    <row r="32" spans="1:14" ht="20.100000000000001" customHeight="1" x14ac:dyDescent="0.2">
      <c r="A32" s="392"/>
      <c r="B32" s="466">
        <f>C27*B31</f>
        <v>206.40000000000003</v>
      </c>
      <c r="C32" s="465"/>
      <c r="D32" s="466">
        <f>C27*D31</f>
        <v>404.6</v>
      </c>
      <c r="E32" s="465"/>
      <c r="F32" s="466">
        <f>G27*F31</f>
        <v>88</v>
      </c>
      <c r="G32" s="465"/>
      <c r="H32" s="466">
        <f>G27*H31</f>
        <v>37.000000000000007</v>
      </c>
      <c r="I32" s="393"/>
    </row>
    <row r="33" spans="1:9" ht="20.100000000000001" customHeight="1" x14ac:dyDescent="0.2">
      <c r="A33" s="392"/>
      <c r="B33" s="474">
        <f>B32/$E$21</f>
        <v>0.2804347826086957</v>
      </c>
      <c r="C33" s="465"/>
      <c r="D33" s="474">
        <f>D32/$E$21</f>
        <v>0.54972826086956528</v>
      </c>
      <c r="E33" s="465"/>
      <c r="F33" s="474">
        <f>F32/$E$21</f>
        <v>0.11956521739130435</v>
      </c>
      <c r="G33" s="465"/>
      <c r="H33" s="474">
        <f>H32/$E$21</f>
        <v>5.0271739130434791E-2</v>
      </c>
      <c r="I33" s="393"/>
    </row>
    <row r="34" spans="1:9" ht="20.100000000000001" customHeight="1" x14ac:dyDescent="0.2">
      <c r="A34" s="392"/>
      <c r="B34" s="476"/>
      <c r="C34" s="465"/>
      <c r="D34" s="476"/>
      <c r="E34" s="465"/>
      <c r="F34" s="476"/>
      <c r="G34" s="465"/>
      <c r="H34" s="476"/>
      <c r="I34" s="393"/>
    </row>
    <row r="35" spans="1:9" ht="20.100000000000001" customHeight="1" x14ac:dyDescent="0.2">
      <c r="A35" s="392"/>
      <c r="B35" s="476"/>
      <c r="C35" s="465"/>
      <c r="D35" s="476"/>
      <c r="E35" s="465"/>
      <c r="F35" s="476"/>
      <c r="G35" s="465"/>
      <c r="H35" s="476"/>
      <c r="I35" s="393"/>
    </row>
    <row r="36" spans="1:9" ht="20.100000000000001" customHeight="1" x14ac:dyDescent="0.2">
      <c r="A36" s="392"/>
      <c r="B36" s="476"/>
      <c r="C36" s="465"/>
      <c r="D36" s="476"/>
      <c r="E36" s="477"/>
      <c r="F36" s="476"/>
      <c r="G36" s="465"/>
      <c r="H36" s="476"/>
      <c r="I36" s="393"/>
    </row>
    <row r="37" spans="1:9" ht="20.100000000000001" customHeight="1" x14ac:dyDescent="0.2">
      <c r="A37" s="392"/>
      <c r="B37" s="476"/>
      <c r="C37" s="465"/>
      <c r="D37" s="503">
        <f>(B32+F32)/1.6</f>
        <v>184</v>
      </c>
      <c r="E37" s="465"/>
      <c r="F37" s="476"/>
      <c r="G37" s="465"/>
      <c r="H37" s="476"/>
      <c r="I37" s="393"/>
    </row>
    <row r="38" spans="1:9" ht="20.100000000000001" customHeight="1" x14ac:dyDescent="0.2">
      <c r="A38" s="392"/>
      <c r="B38" s="476"/>
      <c r="C38" s="465"/>
      <c r="D38" s="505" t="s">
        <v>532</v>
      </c>
      <c r="E38" s="477"/>
      <c r="F38" s="476"/>
      <c r="G38" s="465"/>
      <c r="H38" s="476"/>
      <c r="I38" s="393"/>
    </row>
    <row r="39" spans="1:9" ht="20.100000000000001" customHeight="1" thickBot="1" x14ac:dyDescent="0.25">
      <c r="A39" s="394"/>
      <c r="B39" s="395"/>
      <c r="C39" s="396"/>
      <c r="D39" s="395"/>
      <c r="E39" s="396"/>
      <c r="F39" s="395"/>
      <c r="G39" s="396"/>
      <c r="H39" s="395"/>
      <c r="I39" s="397"/>
    </row>
  </sheetData>
  <mergeCells count="5">
    <mergeCell ref="A1:M1"/>
    <mergeCell ref="H7:I7"/>
    <mergeCell ref="B9:B10"/>
    <mergeCell ref="D9:D10"/>
    <mergeCell ref="H9:H10"/>
  </mergeCells>
  <conditionalFormatting sqref="D37">
    <cfRule type="expression" dxfId="0" priority="1">
      <formula>D37=J8</formula>
    </cfRule>
  </conditionalFormatting>
  <printOptions horizontalCentered="1"/>
  <pageMargins left="0.70866141732283472" right="0.70866141732283472" top="0.78740157480314965" bottom="0.78740157480314965" header="0.31496062992125984" footer="0.31496062992125984"/>
  <pageSetup paperSize="9" scale="55"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FF99"/>
  </sheetPr>
  <dimension ref="A1:E14"/>
  <sheetViews>
    <sheetView workbookViewId="0">
      <pane ySplit="2" topLeftCell="A3" activePane="bottomLeft" state="frozen"/>
      <selection activeCell="A2" sqref="A2:B3"/>
      <selection pane="bottomLeft" activeCell="A3" sqref="A3"/>
    </sheetView>
  </sheetViews>
  <sheetFormatPr baseColWidth="10" defaultRowHeight="12.75" x14ac:dyDescent="0.2"/>
  <cols>
    <col min="1" max="1" width="32.7109375" style="72" customWidth="1"/>
    <col min="2" max="2" width="16.7109375" style="63" bestFit="1" customWidth="1"/>
    <col min="3" max="3" width="76.28515625" style="241" customWidth="1"/>
    <col min="4" max="4" width="14.140625" style="241" customWidth="1"/>
    <col min="5" max="5" width="83.7109375" style="241" customWidth="1"/>
    <col min="6" max="16384" width="11.42578125" style="241"/>
  </cols>
  <sheetData>
    <row r="1" spans="1:5" ht="60" customHeight="1" x14ac:dyDescent="0.2">
      <c r="A1" s="611" t="s">
        <v>383</v>
      </c>
      <c r="B1" s="611"/>
      <c r="C1" s="611"/>
      <c r="D1" s="611"/>
      <c r="E1" s="611"/>
    </row>
    <row r="2" spans="1:5" ht="39.950000000000003" customHeight="1" thickBot="1" x14ac:dyDescent="0.25">
      <c r="A2" s="245" t="s">
        <v>97</v>
      </c>
      <c r="B2" s="243" t="s">
        <v>188</v>
      </c>
      <c r="C2" s="245" t="s">
        <v>162</v>
      </c>
      <c r="D2" s="243" t="s">
        <v>160</v>
      </c>
      <c r="E2" s="218" t="s">
        <v>108</v>
      </c>
    </row>
    <row r="3" spans="1:5" ht="49.5" customHeight="1" thickTop="1" thickBot="1" x14ac:dyDescent="0.25">
      <c r="A3" s="252" t="s">
        <v>0</v>
      </c>
      <c r="B3" s="14" t="s">
        <v>15</v>
      </c>
      <c r="C3" s="229" t="s">
        <v>61</v>
      </c>
      <c r="D3" s="255"/>
      <c r="E3" s="244"/>
    </row>
    <row r="4" spans="1:5" ht="60" customHeight="1" thickTop="1" thickBot="1" x14ac:dyDescent="0.25">
      <c r="A4" s="256" t="s">
        <v>174</v>
      </c>
      <c r="B4" s="14" t="s">
        <v>337</v>
      </c>
      <c r="C4" s="232" t="s">
        <v>221</v>
      </c>
      <c r="D4" s="100"/>
      <c r="E4" s="243"/>
    </row>
    <row r="5" spans="1:5" ht="39.950000000000003" customHeight="1" thickTop="1" thickBot="1" x14ac:dyDescent="0.25">
      <c r="A5" s="256" t="s">
        <v>177</v>
      </c>
      <c r="B5" s="14" t="s">
        <v>347</v>
      </c>
      <c r="C5" s="232" t="s">
        <v>178</v>
      </c>
      <c r="D5" s="255"/>
      <c r="E5" s="99"/>
    </row>
    <row r="6" spans="1:5" ht="39.950000000000003" customHeight="1" thickTop="1" thickBot="1" x14ac:dyDescent="0.25">
      <c r="A6" s="256" t="s">
        <v>175</v>
      </c>
      <c r="B6" s="14" t="s">
        <v>338</v>
      </c>
      <c r="C6" s="22"/>
      <c r="D6" s="255"/>
      <c r="E6" s="66" t="s">
        <v>179</v>
      </c>
    </row>
    <row r="7" spans="1:5" ht="39.950000000000003" customHeight="1" thickTop="1" x14ac:dyDescent="0.2">
      <c r="A7" s="256" t="s">
        <v>176</v>
      </c>
      <c r="B7" s="14" t="s">
        <v>339</v>
      </c>
      <c r="C7" s="22"/>
      <c r="D7" s="319"/>
      <c r="E7" s="66" t="s">
        <v>180</v>
      </c>
    </row>
    <row r="8" spans="1:5" ht="60" customHeight="1" x14ac:dyDescent="0.2">
      <c r="A8" s="257" t="s">
        <v>189</v>
      </c>
      <c r="B8" s="14" t="s">
        <v>340</v>
      </c>
      <c r="C8" s="68" t="s">
        <v>190</v>
      </c>
      <c r="D8" s="319"/>
      <c r="E8" s="66" t="s">
        <v>223</v>
      </c>
    </row>
    <row r="9" spans="1:5" ht="39.75" customHeight="1" x14ac:dyDescent="0.2">
      <c r="A9" s="256" t="s">
        <v>58</v>
      </c>
      <c r="B9" s="14" t="s">
        <v>341</v>
      </c>
      <c r="C9" s="64" t="s">
        <v>183</v>
      </c>
      <c r="D9" s="320"/>
      <c r="E9" s="64" t="s">
        <v>185</v>
      </c>
    </row>
    <row r="10" spans="1:5" ht="50.1" customHeight="1" x14ac:dyDescent="0.2">
      <c r="A10" s="256" t="s">
        <v>59</v>
      </c>
      <c r="B10" s="14" t="s">
        <v>342</v>
      </c>
      <c r="C10" s="64" t="s">
        <v>182</v>
      </c>
      <c r="D10" s="320"/>
      <c r="E10" s="64" t="s">
        <v>184</v>
      </c>
    </row>
    <row r="11" spans="1:5" ht="50.1" customHeight="1" x14ac:dyDescent="0.2">
      <c r="A11" s="256" t="s">
        <v>343</v>
      </c>
      <c r="B11" s="14" t="s">
        <v>344</v>
      </c>
      <c r="C11" s="64" t="s">
        <v>173</v>
      </c>
      <c r="D11" s="320"/>
      <c r="E11" s="64" t="s">
        <v>181</v>
      </c>
    </row>
    <row r="12" spans="1:5" ht="80.099999999999994" customHeight="1" thickBot="1" x14ac:dyDescent="0.25">
      <c r="A12" s="256" t="s">
        <v>62</v>
      </c>
      <c r="B12" s="14" t="s">
        <v>345</v>
      </c>
      <c r="C12" s="229"/>
      <c r="D12" s="321"/>
      <c r="E12" s="251" t="s">
        <v>321</v>
      </c>
    </row>
    <row r="13" spans="1:5" ht="60" customHeight="1" thickTop="1" thickBot="1" x14ac:dyDescent="0.4">
      <c r="A13" s="256" t="s">
        <v>60</v>
      </c>
      <c r="B13" s="14" t="s">
        <v>346</v>
      </c>
      <c r="C13" s="233" t="s">
        <v>235</v>
      </c>
      <c r="D13" s="255"/>
      <c r="E13" s="64" t="s">
        <v>186</v>
      </c>
    </row>
    <row r="14" spans="1:5" ht="13.5" thickTop="1" x14ac:dyDescent="0.2"/>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FFFF"/>
  </sheetPr>
  <dimension ref="A1:E14"/>
  <sheetViews>
    <sheetView workbookViewId="0">
      <pane ySplit="2" topLeftCell="A3" activePane="bottomLeft" state="frozen"/>
      <selection activeCell="A2" sqref="A2:B3"/>
      <selection pane="bottomLeft" activeCell="D3" sqref="D3"/>
    </sheetView>
  </sheetViews>
  <sheetFormatPr baseColWidth="10" defaultRowHeight="12.75" x14ac:dyDescent="0.2"/>
  <cols>
    <col min="1" max="1" width="32.7109375" style="62" customWidth="1"/>
    <col min="2" max="2" width="16.7109375" style="63" bestFit="1" customWidth="1"/>
    <col min="3" max="3" width="76.28515625" style="2" customWidth="1"/>
    <col min="4" max="4" width="14.140625" style="2" customWidth="1"/>
    <col min="5" max="5" width="83.7109375" style="2" customWidth="1"/>
    <col min="6" max="16384" width="11.42578125" style="2"/>
  </cols>
  <sheetData>
    <row r="1" spans="1:5" s="241" customFormat="1" ht="60" customHeight="1" x14ac:dyDescent="0.2">
      <c r="A1" s="612" t="s">
        <v>383</v>
      </c>
      <c r="B1" s="612"/>
      <c r="C1" s="612"/>
      <c r="D1" s="612"/>
      <c r="E1" s="612"/>
    </row>
    <row r="2" spans="1:5" ht="39.950000000000003" customHeight="1" thickBot="1" x14ac:dyDescent="0.25">
      <c r="A2" s="245" t="s">
        <v>97</v>
      </c>
      <c r="B2" s="243" t="s">
        <v>188</v>
      </c>
      <c r="C2" s="15" t="s">
        <v>162</v>
      </c>
      <c r="D2" s="7" t="s">
        <v>160</v>
      </c>
      <c r="E2" s="13" t="s">
        <v>108</v>
      </c>
    </row>
    <row r="3" spans="1:5" ht="49.5" customHeight="1" thickTop="1" thickBot="1" x14ac:dyDescent="0.25">
      <c r="A3" s="257" t="s">
        <v>0</v>
      </c>
      <c r="B3" s="14" t="s">
        <v>15</v>
      </c>
      <c r="C3" s="21" t="s">
        <v>61</v>
      </c>
      <c r="D3" s="255">
        <f>CN_ZB-(SorgN_AN+SNH4_AN+SNO3_AN+XorgN_BM)</f>
        <v>46.8</v>
      </c>
      <c r="E3" s="8"/>
    </row>
    <row r="4" spans="1:5" ht="60" customHeight="1" thickTop="1" thickBot="1" x14ac:dyDescent="0.25">
      <c r="A4" s="256" t="s">
        <v>174</v>
      </c>
      <c r="B4" s="14" t="s">
        <v>337</v>
      </c>
      <c r="C4" s="65" t="s">
        <v>411</v>
      </c>
      <c r="D4" s="100">
        <f>ROUND(CTKN_ZB+SNO3_ZB+SNO2_ZB+SNH4_Schlammw,1)</f>
        <v>85.6</v>
      </c>
      <c r="E4" s="7"/>
    </row>
    <row r="5" spans="1:5" ht="39.950000000000003" customHeight="1" thickTop="1" thickBot="1" x14ac:dyDescent="0.25">
      <c r="A5" s="256" t="s">
        <v>177</v>
      </c>
      <c r="B5" s="14" t="s">
        <v>347</v>
      </c>
      <c r="C5" s="65" t="s">
        <v>178</v>
      </c>
      <c r="D5" s="100">
        <f>(Bd_TKN_ZB*1000)/Qd</f>
        <v>81.34615384615384</v>
      </c>
      <c r="E5" s="99"/>
    </row>
    <row r="6" spans="1:5" ht="39.950000000000003" customHeight="1" thickTop="1" thickBot="1" x14ac:dyDescent="0.25">
      <c r="A6" s="256" t="s">
        <v>175</v>
      </c>
      <c r="B6" s="14" t="s">
        <v>338</v>
      </c>
      <c r="C6" s="22"/>
      <c r="D6" s="100">
        <f>Bd_NO3_Z*1000/Qd</f>
        <v>0</v>
      </c>
      <c r="E6" s="66" t="s">
        <v>416</v>
      </c>
    </row>
    <row r="7" spans="1:5" ht="39.950000000000003" customHeight="1" thickTop="1" x14ac:dyDescent="0.2">
      <c r="A7" s="256" t="s">
        <v>176</v>
      </c>
      <c r="B7" s="14" t="s">
        <v>339</v>
      </c>
      <c r="C7" s="22"/>
      <c r="D7" s="101">
        <v>0</v>
      </c>
      <c r="E7" s="66" t="s">
        <v>180</v>
      </c>
    </row>
    <row r="8" spans="1:5" ht="60" customHeight="1" x14ac:dyDescent="0.2">
      <c r="A8" s="257" t="s">
        <v>189</v>
      </c>
      <c r="B8" s="14" t="s">
        <v>340</v>
      </c>
      <c r="C8" s="68" t="s">
        <v>190</v>
      </c>
      <c r="D8" s="101">
        <v>4.3</v>
      </c>
      <c r="E8" s="66" t="s">
        <v>223</v>
      </c>
    </row>
    <row r="9" spans="1:5" ht="39.75" customHeight="1" x14ac:dyDescent="0.2">
      <c r="A9" s="256" t="s">
        <v>58</v>
      </c>
      <c r="B9" s="14" t="s">
        <v>341</v>
      </c>
      <c r="C9" s="64" t="s">
        <v>183</v>
      </c>
      <c r="D9" s="29">
        <v>2</v>
      </c>
      <c r="E9" s="64" t="s">
        <v>185</v>
      </c>
    </row>
    <row r="10" spans="1:5" ht="50.1" customHeight="1" x14ac:dyDescent="0.2">
      <c r="A10" s="256" t="s">
        <v>59</v>
      </c>
      <c r="B10" s="14" t="s">
        <v>342</v>
      </c>
      <c r="C10" s="64" t="s">
        <v>182</v>
      </c>
      <c r="D10" s="29">
        <v>0.2</v>
      </c>
      <c r="E10" s="64" t="s">
        <v>442</v>
      </c>
    </row>
    <row r="11" spans="1:5" ht="50.1" customHeight="1" thickBot="1" x14ac:dyDescent="0.25">
      <c r="A11" s="256" t="s">
        <v>343</v>
      </c>
      <c r="B11" s="14" t="s">
        <v>344</v>
      </c>
      <c r="C11" s="64" t="s">
        <v>173</v>
      </c>
      <c r="D11" s="29">
        <v>9</v>
      </c>
      <c r="E11" s="64" t="s">
        <v>443</v>
      </c>
    </row>
    <row r="12" spans="1:5" ht="80.099999999999994" customHeight="1" thickTop="1" thickBot="1" x14ac:dyDescent="0.25">
      <c r="A12" s="256" t="s">
        <v>62</v>
      </c>
      <c r="B12" s="14" t="s">
        <v>345</v>
      </c>
      <c r="C12" s="21"/>
      <c r="D12" s="100">
        <f>0.7*SanorgN_ÜW</f>
        <v>9.1</v>
      </c>
      <c r="E12" s="251" t="s">
        <v>405</v>
      </c>
    </row>
    <row r="13" spans="1:5" ht="60" customHeight="1" thickTop="1" thickBot="1" x14ac:dyDescent="0.4">
      <c r="A13" s="256" t="s">
        <v>60</v>
      </c>
      <c r="B13" s="14" t="s">
        <v>346</v>
      </c>
      <c r="C13" s="67" t="s">
        <v>235</v>
      </c>
      <c r="D13" s="100">
        <f>ROUND(0.045*CBSB_ZB,1)</f>
        <v>27.5</v>
      </c>
      <c r="E13" s="64" t="s">
        <v>186</v>
      </c>
    </row>
    <row r="14" spans="1:5" ht="13.5" thickTop="1" x14ac:dyDescent="0.2">
      <c r="D14" s="241"/>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FF99"/>
  </sheetPr>
  <dimension ref="A1:F7"/>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78.85546875" style="167" customWidth="1"/>
    <col min="4" max="4" width="14.28515625" style="45" customWidth="1"/>
    <col min="5" max="5" width="76.140625" style="45" customWidth="1"/>
    <col min="6" max="6" width="14.5703125" style="45" hidden="1" customWidth="1"/>
    <col min="7" max="16384" width="11.42578125" style="167"/>
  </cols>
  <sheetData>
    <row r="1" spans="1:6" ht="60" customHeight="1" x14ac:dyDescent="0.2">
      <c r="A1" s="611" t="s">
        <v>384</v>
      </c>
      <c r="B1" s="611"/>
      <c r="C1" s="611"/>
      <c r="D1" s="611"/>
      <c r="E1" s="611"/>
    </row>
    <row r="2" spans="1:6" ht="39.950000000000003" customHeight="1" thickBot="1" x14ac:dyDescent="0.25">
      <c r="A2" s="245" t="s">
        <v>97</v>
      </c>
      <c r="B2" s="243" t="s">
        <v>96</v>
      </c>
      <c r="C2" s="245" t="s">
        <v>162</v>
      </c>
      <c r="D2" s="243" t="s">
        <v>160</v>
      </c>
      <c r="E2" s="218" t="s">
        <v>108</v>
      </c>
      <c r="F2" s="57"/>
    </row>
    <row r="3" spans="1:6" ht="80.099999999999994" customHeight="1" thickTop="1" thickBot="1" x14ac:dyDescent="0.25">
      <c r="A3" s="234" t="s">
        <v>224</v>
      </c>
      <c r="B3" s="196" t="s">
        <v>225</v>
      </c>
      <c r="C3" s="248"/>
      <c r="D3" s="195"/>
      <c r="E3" s="169"/>
      <c r="F3" s="106"/>
    </row>
    <row r="4" spans="1:6" ht="60" customHeight="1" thickTop="1" thickBot="1" x14ac:dyDescent="0.25">
      <c r="A4" s="245" t="s">
        <v>226</v>
      </c>
      <c r="B4" s="243" t="s">
        <v>227</v>
      </c>
      <c r="C4" s="244"/>
      <c r="D4" s="195"/>
      <c r="E4" s="169" t="s">
        <v>230</v>
      </c>
    </row>
    <row r="5" spans="1:6" ht="60" customHeight="1" thickTop="1" thickBot="1" x14ac:dyDescent="0.25">
      <c r="A5" s="245" t="s">
        <v>228</v>
      </c>
      <c r="B5" s="243" t="s">
        <v>229</v>
      </c>
      <c r="C5" s="244"/>
      <c r="D5" s="195"/>
      <c r="E5" s="169"/>
    </row>
    <row r="6" spans="1:6" ht="60" customHeight="1" thickTop="1" thickBot="1" x14ac:dyDescent="0.25">
      <c r="A6" s="245" t="s">
        <v>272</v>
      </c>
      <c r="B6" s="243" t="s">
        <v>273</v>
      </c>
      <c r="C6" s="160" t="s">
        <v>274</v>
      </c>
      <c r="D6" s="195"/>
      <c r="E6" s="169" t="s">
        <v>275</v>
      </c>
      <c r="F6" s="163"/>
    </row>
    <row r="7" spans="1:6" ht="99.95" customHeight="1" thickTop="1" thickBot="1" x14ac:dyDescent="0.25">
      <c r="A7" s="245" t="s">
        <v>276</v>
      </c>
      <c r="B7" s="243" t="s">
        <v>277</v>
      </c>
      <c r="C7" s="244"/>
      <c r="D7" s="170"/>
      <c r="E7" s="169" t="s">
        <v>278</v>
      </c>
      <c r="F7" s="163"/>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FFFF"/>
  </sheetPr>
  <dimension ref="A1:F7"/>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78.85546875" style="31" customWidth="1"/>
    <col min="4" max="4" width="14.28515625" style="45" customWidth="1"/>
    <col min="5" max="5" width="76.140625" style="45" customWidth="1"/>
    <col min="6" max="6" width="14.5703125" style="45" hidden="1" customWidth="1"/>
    <col min="7" max="16384" width="11.42578125" style="31"/>
  </cols>
  <sheetData>
    <row r="1" spans="1:6" s="167" customFormat="1" ht="60" customHeight="1" x14ac:dyDescent="0.2">
      <c r="A1" s="614" t="s">
        <v>384</v>
      </c>
      <c r="B1" s="614"/>
      <c r="C1" s="614"/>
      <c r="D1" s="614"/>
      <c r="E1" s="614"/>
      <c r="F1" s="45"/>
    </row>
    <row r="2" spans="1:6" ht="39.950000000000003" customHeight="1" thickBot="1" x14ac:dyDescent="0.25">
      <c r="A2" s="15" t="s">
        <v>97</v>
      </c>
      <c r="B2" s="7" t="s">
        <v>96</v>
      </c>
      <c r="C2" s="15" t="s">
        <v>162</v>
      </c>
      <c r="D2" s="7" t="s">
        <v>160</v>
      </c>
      <c r="E2" s="13" t="s">
        <v>108</v>
      </c>
      <c r="F2" s="57"/>
    </row>
    <row r="3" spans="1:6" ht="80.099999999999994" customHeight="1" thickTop="1" thickBot="1" x14ac:dyDescent="0.25">
      <c r="A3" s="102" t="s">
        <v>224</v>
      </c>
      <c r="B3" s="103" t="s">
        <v>225</v>
      </c>
      <c r="C3" s="104"/>
      <c r="D3" s="97">
        <f>IF(CP_ZB-(CP_AN+XP_BM+XP_BioP)&gt;=0,CP_ZB-(CP_AN+XP_BM+XP_BioP),0)</f>
        <v>0</v>
      </c>
      <c r="E3" s="105"/>
      <c r="F3" s="106"/>
    </row>
    <row r="4" spans="1:6" ht="60" customHeight="1" thickTop="1" thickBot="1" x14ac:dyDescent="0.25">
      <c r="A4" s="15" t="s">
        <v>226</v>
      </c>
      <c r="B4" s="7" t="s">
        <v>227</v>
      </c>
      <c r="C4" s="8"/>
      <c r="D4" s="97">
        <f>0.6*CP_ÜW</f>
        <v>0.6</v>
      </c>
      <c r="E4" s="105" t="s">
        <v>444</v>
      </c>
    </row>
    <row r="5" spans="1:6" ht="60" customHeight="1" thickTop="1" thickBot="1" x14ac:dyDescent="0.25">
      <c r="A5" s="15" t="s">
        <v>228</v>
      </c>
      <c r="B5" s="7" t="s">
        <v>229</v>
      </c>
      <c r="C5" s="8"/>
      <c r="D5" s="97">
        <f>0.01*CBSB_ZB</f>
        <v>6.11</v>
      </c>
      <c r="E5" s="105"/>
    </row>
    <row r="6" spans="1:6" ht="60" customHeight="1" thickTop="1" thickBot="1" x14ac:dyDescent="0.25">
      <c r="A6" s="159" t="s">
        <v>272</v>
      </c>
      <c r="B6" s="158" t="s">
        <v>273</v>
      </c>
      <c r="C6" s="160" t="s">
        <v>274</v>
      </c>
      <c r="D6" s="161">
        <f>0.0125*CBSB_ZB</f>
        <v>7.6375000000000002</v>
      </c>
      <c r="E6" s="162" t="s">
        <v>275</v>
      </c>
      <c r="F6" s="157"/>
    </row>
    <row r="7" spans="1:6" ht="99.95" customHeight="1" thickTop="1" thickBot="1" x14ac:dyDescent="0.25">
      <c r="A7" s="166" t="s">
        <v>276</v>
      </c>
      <c r="B7" s="164" t="s">
        <v>277</v>
      </c>
      <c r="C7" s="165"/>
      <c r="D7" s="170">
        <f>ROUND(2.7*XP_Fäll*Qd/1000,-1)</f>
        <v>0</v>
      </c>
      <c r="E7" s="169" t="s">
        <v>445</v>
      </c>
      <c r="F7" s="163"/>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99"/>
  </sheetPr>
  <dimension ref="A1:F10"/>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85.42578125" style="167" customWidth="1"/>
    <col min="4" max="4" width="14.28515625" style="45" customWidth="1"/>
    <col min="5" max="5" width="76.140625" style="45" customWidth="1"/>
    <col min="6" max="6" width="14.5703125" style="45" hidden="1" customWidth="1"/>
    <col min="7" max="16384" width="11.42578125" style="167"/>
  </cols>
  <sheetData>
    <row r="1" spans="1:6" ht="60" customHeight="1" x14ac:dyDescent="0.2">
      <c r="A1" s="611" t="s">
        <v>385</v>
      </c>
      <c r="B1" s="611"/>
      <c r="C1" s="611"/>
      <c r="D1" s="611"/>
      <c r="E1" s="611"/>
    </row>
    <row r="2" spans="1:6" ht="39.950000000000003" customHeight="1" x14ac:dyDescent="0.2">
      <c r="A2" s="245" t="s">
        <v>97</v>
      </c>
      <c r="B2" s="243" t="s">
        <v>96</v>
      </c>
      <c r="C2" s="245" t="s">
        <v>162</v>
      </c>
      <c r="D2" s="243" t="s">
        <v>160</v>
      </c>
      <c r="E2" s="218" t="s">
        <v>108</v>
      </c>
      <c r="F2" s="84"/>
    </row>
    <row r="3" spans="1:6" ht="93.75" customHeight="1" thickBot="1" x14ac:dyDescent="0.25">
      <c r="A3" s="218" t="s">
        <v>14</v>
      </c>
      <c r="B3" s="14" t="s">
        <v>1</v>
      </c>
      <c r="C3" s="46" t="s">
        <v>170</v>
      </c>
      <c r="D3" s="6"/>
      <c r="E3" s="231"/>
      <c r="F3" s="18"/>
    </row>
    <row r="4" spans="1:6" ht="137.25" customHeight="1" thickTop="1" thickBot="1" x14ac:dyDescent="0.25">
      <c r="A4" s="245" t="s">
        <v>269</v>
      </c>
      <c r="B4" s="14" t="s">
        <v>2</v>
      </c>
      <c r="C4" s="160" t="s">
        <v>191</v>
      </c>
      <c r="D4" s="47"/>
      <c r="E4" s="48" t="s">
        <v>163</v>
      </c>
      <c r="F4" s="19"/>
    </row>
    <row r="5" spans="1:6" ht="349.5" customHeight="1" thickTop="1" thickBot="1" x14ac:dyDescent="0.25">
      <c r="A5" s="245" t="s">
        <v>268</v>
      </c>
      <c r="B5" s="152" t="s">
        <v>2</v>
      </c>
      <c r="C5" s="70"/>
      <c r="D5" s="121"/>
      <c r="E5" s="69" t="s">
        <v>271</v>
      </c>
      <c r="F5" s="17">
        <v>8</v>
      </c>
    </row>
    <row r="6" spans="1:6" ht="60" customHeight="1" thickBot="1" x14ac:dyDescent="0.25">
      <c r="A6" s="119" t="s">
        <v>267</v>
      </c>
      <c r="B6" s="153" t="s">
        <v>2</v>
      </c>
      <c r="C6" s="148"/>
      <c r="D6" s="122"/>
      <c r="E6" s="120"/>
      <c r="F6" s="84"/>
    </row>
    <row r="7" spans="1:6" ht="60" customHeight="1" thickBot="1" x14ac:dyDescent="0.25">
      <c r="A7" s="270" t="s">
        <v>266</v>
      </c>
      <c r="B7" s="271" t="s">
        <v>356</v>
      </c>
      <c r="C7" s="151"/>
      <c r="D7" s="322"/>
      <c r="E7" s="150"/>
      <c r="F7" s="146"/>
    </row>
    <row r="8" spans="1:6" ht="80.099999999999994" customHeight="1" thickTop="1" thickBot="1" x14ac:dyDescent="0.25">
      <c r="A8" s="268" t="s">
        <v>211</v>
      </c>
      <c r="B8" s="269" t="s">
        <v>270</v>
      </c>
      <c r="C8" s="189"/>
      <c r="D8" s="323"/>
      <c r="E8" s="190"/>
    </row>
    <row r="9" spans="1:6" ht="80.099999999999994" customHeight="1" thickBot="1" x14ac:dyDescent="0.25">
      <c r="A9" s="126" t="s">
        <v>254</v>
      </c>
      <c r="B9" s="127" t="s">
        <v>255</v>
      </c>
      <c r="C9" s="128"/>
      <c r="D9" s="147"/>
      <c r="E9" s="129"/>
    </row>
    <row r="10" spans="1:6" ht="13.5" thickTop="1" x14ac:dyDescent="0.2"/>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FF"/>
  </sheetPr>
  <dimension ref="A1:F10"/>
  <sheetViews>
    <sheetView showGridLines="0" zoomScaleNormal="100" workbookViewId="0">
      <pane ySplit="2" topLeftCell="A4" activePane="bottomLeft" state="frozen"/>
      <selection activeCell="A2" sqref="A2:B3"/>
      <selection pane="bottomLeft" activeCell="D8" sqref="D8"/>
    </sheetView>
  </sheetViews>
  <sheetFormatPr baseColWidth="10" defaultRowHeight="12.75" x14ac:dyDescent="0.2"/>
  <cols>
    <col min="1" max="1" width="32.28515625" style="56" customWidth="1"/>
    <col min="2" max="2" width="11.5703125" style="45" customWidth="1"/>
    <col min="3" max="3" width="85.42578125" style="31" customWidth="1"/>
    <col min="4" max="4" width="14.28515625" style="45" customWidth="1"/>
    <col min="5" max="5" width="76.140625" style="45" customWidth="1"/>
    <col min="6" max="6" width="14.5703125" style="45" hidden="1" customWidth="1"/>
    <col min="7" max="16384" width="11.42578125" style="31"/>
  </cols>
  <sheetData>
    <row r="1" spans="1:6" s="167" customFormat="1" ht="60" customHeight="1" x14ac:dyDescent="0.2">
      <c r="A1" s="614" t="s">
        <v>385</v>
      </c>
      <c r="B1" s="614"/>
      <c r="C1" s="614"/>
      <c r="D1" s="614"/>
      <c r="E1" s="614"/>
      <c r="F1" s="45"/>
    </row>
    <row r="2" spans="1:6" ht="39.950000000000003" customHeight="1" x14ac:dyDescent="0.2">
      <c r="A2" s="15" t="s">
        <v>97</v>
      </c>
      <c r="B2" s="7" t="s">
        <v>96</v>
      </c>
      <c r="C2" s="15" t="s">
        <v>162</v>
      </c>
      <c r="D2" s="7" t="s">
        <v>160</v>
      </c>
      <c r="E2" s="13" t="s">
        <v>108</v>
      </c>
      <c r="F2" s="61"/>
    </row>
    <row r="3" spans="1:6" ht="93.75" customHeight="1" thickBot="1" x14ac:dyDescent="0.25">
      <c r="A3" s="13" t="s">
        <v>14</v>
      </c>
      <c r="B3" s="14" t="s">
        <v>1</v>
      </c>
      <c r="C3" s="46" t="s">
        <v>170</v>
      </c>
      <c r="D3" s="6">
        <v>1.4</v>
      </c>
      <c r="E3" s="34" t="s">
        <v>446</v>
      </c>
      <c r="F3" s="18"/>
    </row>
    <row r="4" spans="1:6" ht="137.25" customHeight="1" thickTop="1" thickBot="1" x14ac:dyDescent="0.25">
      <c r="A4" s="15" t="s">
        <v>269</v>
      </c>
      <c r="B4" s="14" t="s">
        <v>2</v>
      </c>
      <c r="C4" s="71" t="s">
        <v>191</v>
      </c>
      <c r="D4" s="537">
        <f>SF*3.4*(1.103^(15-12))</f>
        <v>6.3875379005199999</v>
      </c>
      <c r="E4" s="48" t="s">
        <v>163</v>
      </c>
      <c r="F4" s="19"/>
    </row>
    <row r="5" spans="1:6" ht="241.5" customHeight="1" thickTop="1" thickBot="1" x14ac:dyDescent="0.25">
      <c r="A5" s="15" t="s">
        <v>268</v>
      </c>
      <c r="B5" s="152" t="s">
        <v>2</v>
      </c>
      <c r="C5" s="70"/>
      <c r="D5" s="121">
        <v>10.199999999999999</v>
      </c>
      <c r="E5" s="69" t="s">
        <v>447</v>
      </c>
      <c r="F5" s="17">
        <v>8</v>
      </c>
    </row>
    <row r="6" spans="1:6" ht="60" customHeight="1" thickBot="1" x14ac:dyDescent="0.25">
      <c r="A6" s="119" t="s">
        <v>267</v>
      </c>
      <c r="B6" s="153" t="s">
        <v>2</v>
      </c>
      <c r="C6" s="148"/>
      <c r="D6" s="122">
        <v>10</v>
      </c>
      <c r="E6" s="120" t="s">
        <v>248</v>
      </c>
      <c r="F6" s="84"/>
    </row>
    <row r="7" spans="1:6" s="149" customFormat="1" ht="60" customHeight="1" thickBot="1" x14ac:dyDescent="0.25">
      <c r="A7" s="270" t="s">
        <v>266</v>
      </c>
      <c r="B7" s="271" t="s">
        <v>356</v>
      </c>
      <c r="C7" s="151"/>
      <c r="D7" s="122">
        <v>16</v>
      </c>
      <c r="E7" s="120" t="s">
        <v>248</v>
      </c>
      <c r="F7" s="146"/>
    </row>
    <row r="8" spans="1:6" ht="80.099999999999994" customHeight="1" thickTop="1" thickBot="1" x14ac:dyDescent="0.25">
      <c r="A8" s="268" t="s">
        <v>211</v>
      </c>
      <c r="B8" s="269" t="s">
        <v>270</v>
      </c>
      <c r="C8" s="189"/>
      <c r="D8" s="272">
        <f>ROUND(tTS_aerob_Bem/(1-0.35),1)</f>
        <v>15.4</v>
      </c>
      <c r="E8" s="190" t="s">
        <v>448</v>
      </c>
    </row>
    <row r="9" spans="1:6" ht="80.099999999999994" customHeight="1" thickBot="1" x14ac:dyDescent="0.25">
      <c r="A9" s="126" t="s">
        <v>254</v>
      </c>
      <c r="B9" s="127" t="s">
        <v>255</v>
      </c>
      <c r="C9" s="128"/>
      <c r="D9" s="147">
        <f>1-(SF*3.41*1.103^(15-8))/tTS_Bem</f>
        <v>0.40735992026573942</v>
      </c>
      <c r="E9" s="129"/>
    </row>
    <row r="10" spans="1:6" ht="13.5" thickTop="1" x14ac:dyDescent="0.2"/>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FFCC"/>
  </sheetPr>
  <dimension ref="A1:E9"/>
  <sheetViews>
    <sheetView workbookViewId="0">
      <pane ySplit="2" topLeftCell="A3" activePane="bottomLeft" state="frozen"/>
      <selection activeCell="A2" sqref="A2:B3"/>
      <selection pane="bottomLeft" activeCell="D3" sqref="D3"/>
    </sheetView>
  </sheetViews>
  <sheetFormatPr baseColWidth="10" defaultRowHeight="12.75" x14ac:dyDescent="0.2"/>
  <cols>
    <col min="1" max="1" width="32.7109375" style="72" customWidth="1"/>
    <col min="2" max="2" width="12.42578125" style="63" bestFit="1" customWidth="1"/>
    <col min="3" max="3" width="76.42578125" style="241" customWidth="1"/>
    <col min="4" max="4" width="23.28515625" style="241" bestFit="1" customWidth="1"/>
    <col min="5" max="5" width="83.7109375" style="241" customWidth="1"/>
    <col min="6" max="16384" width="11.42578125" style="241"/>
  </cols>
  <sheetData>
    <row r="1" spans="1:5" ht="60" customHeight="1" x14ac:dyDescent="0.2">
      <c r="A1" s="611" t="s">
        <v>386</v>
      </c>
      <c r="B1" s="611"/>
      <c r="C1" s="611"/>
      <c r="D1" s="611"/>
      <c r="E1" s="611"/>
    </row>
    <row r="2" spans="1:5" ht="39.950000000000003" customHeight="1" x14ac:dyDescent="0.2">
      <c r="A2" s="245" t="s">
        <v>97</v>
      </c>
      <c r="B2" s="331" t="s">
        <v>96</v>
      </c>
      <c r="C2" s="245" t="s">
        <v>162</v>
      </c>
      <c r="D2" s="331" t="s">
        <v>299</v>
      </c>
      <c r="E2" s="218" t="s">
        <v>108</v>
      </c>
    </row>
    <row r="3" spans="1:5" ht="300" customHeight="1" x14ac:dyDescent="0.2">
      <c r="A3" s="234" t="s">
        <v>353</v>
      </c>
      <c r="B3" s="246" t="s">
        <v>187</v>
      </c>
      <c r="C3" s="258"/>
      <c r="D3" s="259"/>
      <c r="E3" s="260"/>
    </row>
    <row r="4" spans="1:5" ht="60" customHeight="1" x14ac:dyDescent="0.2">
      <c r="A4" s="234" t="s">
        <v>348</v>
      </c>
      <c r="B4" s="246" t="s">
        <v>187</v>
      </c>
      <c r="C4" s="258"/>
      <c r="D4" s="267"/>
      <c r="E4" s="260"/>
    </row>
    <row r="5" spans="1:5" ht="60" customHeight="1" x14ac:dyDescent="0.2">
      <c r="A5" s="234" t="s">
        <v>389</v>
      </c>
      <c r="B5" s="246" t="s">
        <v>388</v>
      </c>
      <c r="C5" s="244"/>
      <c r="D5" s="263"/>
      <c r="E5" s="244"/>
    </row>
    <row r="6" spans="1:5" ht="60" customHeight="1" x14ac:dyDescent="0.2">
      <c r="A6" s="218" t="s">
        <v>390</v>
      </c>
      <c r="B6" s="246" t="s">
        <v>391</v>
      </c>
      <c r="C6" s="244"/>
      <c r="D6" s="263"/>
      <c r="E6" s="244"/>
    </row>
    <row r="7" spans="1:5" ht="60" customHeight="1" x14ac:dyDescent="0.2">
      <c r="A7" s="245" t="s">
        <v>392</v>
      </c>
      <c r="B7" s="327" t="s">
        <v>350</v>
      </c>
      <c r="C7" s="229"/>
      <c r="D7" s="337"/>
      <c r="E7" s="64"/>
    </row>
    <row r="8" spans="1:5" ht="80.099999999999994" customHeight="1" x14ac:dyDescent="0.2">
      <c r="A8" s="615" t="s">
        <v>351</v>
      </c>
      <c r="B8" s="616" t="s">
        <v>352</v>
      </c>
      <c r="C8" s="617"/>
      <c r="D8" s="337"/>
      <c r="E8" s="244"/>
    </row>
    <row r="9" spans="1:5" ht="80.099999999999994" customHeight="1" x14ac:dyDescent="0.2">
      <c r="A9" s="615"/>
      <c r="B9" s="616"/>
      <c r="C9" s="617"/>
      <c r="D9" s="338"/>
      <c r="E9" s="244"/>
    </row>
  </sheetData>
  <mergeCells count="4">
    <mergeCell ref="A1:E1"/>
    <mergeCell ref="A8:A9"/>
    <mergeCell ref="B8:B9"/>
    <mergeCell ref="C8:C9"/>
  </mergeCells>
  <pageMargins left="0.7" right="0.7" top="0.78740157499999996" bottom="0.78740157499999996"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FFFF"/>
  </sheetPr>
  <dimension ref="A1:F9"/>
  <sheetViews>
    <sheetView workbookViewId="0">
      <pane ySplit="2" topLeftCell="A3" activePane="bottomLeft" state="frozen"/>
      <selection activeCell="A2" sqref="A2:B3"/>
      <selection pane="bottomLeft" activeCell="A3" sqref="A3"/>
    </sheetView>
  </sheetViews>
  <sheetFormatPr baseColWidth="10" defaultRowHeight="12.75" x14ac:dyDescent="0.2"/>
  <cols>
    <col min="1" max="1" width="32.7109375" style="72" customWidth="1"/>
    <col min="2" max="2" width="12.42578125" style="63" bestFit="1" customWidth="1"/>
    <col min="3" max="3" width="76.42578125" style="241" customWidth="1"/>
    <col min="4" max="4" width="23.28515625" style="241" bestFit="1" customWidth="1"/>
    <col min="5" max="5" width="83.7109375" style="241" customWidth="1"/>
    <col min="6" max="16384" width="11.42578125" style="241"/>
  </cols>
  <sheetData>
    <row r="1" spans="1:6" ht="60" customHeight="1" x14ac:dyDescent="0.2">
      <c r="A1" s="614" t="s">
        <v>582</v>
      </c>
      <c r="B1" s="614"/>
      <c r="C1" s="614"/>
      <c r="D1" s="614"/>
      <c r="E1" s="614"/>
    </row>
    <row r="2" spans="1:6" ht="39.950000000000003" customHeight="1" x14ac:dyDescent="0.2">
      <c r="A2" s="245" t="s">
        <v>97</v>
      </c>
      <c r="B2" s="331" t="s">
        <v>96</v>
      </c>
      <c r="C2" s="245" t="s">
        <v>162</v>
      </c>
      <c r="D2" s="331" t="s">
        <v>299</v>
      </c>
      <c r="E2" s="218" t="s">
        <v>108</v>
      </c>
    </row>
    <row r="3" spans="1:6" ht="300" customHeight="1" x14ac:dyDescent="0.2">
      <c r="A3" s="234" t="s">
        <v>353</v>
      </c>
      <c r="B3" s="246" t="s">
        <v>187</v>
      </c>
      <c r="C3" s="258"/>
      <c r="D3" s="259">
        <v>0.13500000000000001</v>
      </c>
      <c r="E3" s="260"/>
    </row>
    <row r="4" spans="1:6" ht="80.099999999999994" customHeight="1" x14ac:dyDescent="0.2">
      <c r="A4" s="234" t="s">
        <v>348</v>
      </c>
      <c r="B4" s="246" t="s">
        <v>187</v>
      </c>
      <c r="C4" s="258"/>
      <c r="D4" s="524">
        <f>SNO3_D/CBSB_ZB</f>
        <v>7.6595744680851063E-2</v>
      </c>
      <c r="E4" s="260" t="s">
        <v>581</v>
      </c>
    </row>
    <row r="5" spans="1:6" ht="60" customHeight="1" x14ac:dyDescent="0.2">
      <c r="A5" s="234" t="s">
        <v>389</v>
      </c>
      <c r="B5" s="246" t="s">
        <v>388</v>
      </c>
      <c r="C5" s="244"/>
      <c r="D5" s="263">
        <f>SNO3_D-(0.15*CBSB_ZB)</f>
        <v>-44.849999999999994</v>
      </c>
      <c r="E5" s="618" t="s">
        <v>580</v>
      </c>
      <c r="F5" s="263">
        <v>0</v>
      </c>
    </row>
    <row r="6" spans="1:6" ht="60" customHeight="1" x14ac:dyDescent="0.2">
      <c r="A6" s="218" t="s">
        <v>390</v>
      </c>
      <c r="B6" s="246" t="s">
        <v>391</v>
      </c>
      <c r="C6" s="244"/>
      <c r="D6" s="263">
        <f>SNO3_D_Ext*5</f>
        <v>0</v>
      </c>
      <c r="E6" s="619"/>
    </row>
    <row r="7" spans="1:6" ht="60" customHeight="1" x14ac:dyDescent="0.2">
      <c r="A7" s="245" t="s">
        <v>392</v>
      </c>
      <c r="B7" s="327" t="s">
        <v>350</v>
      </c>
      <c r="C7" s="229"/>
      <c r="D7" s="264">
        <f>ROUND(SCSB_Dos*Qd/1000,-2)</f>
        <v>0</v>
      </c>
      <c r="E7" s="619"/>
    </row>
    <row r="8" spans="1:6" ht="80.099999999999994" customHeight="1" x14ac:dyDescent="0.2">
      <c r="A8" s="615" t="s">
        <v>351</v>
      </c>
      <c r="B8" s="616" t="s">
        <v>352</v>
      </c>
      <c r="C8" s="617"/>
      <c r="D8" s="264">
        <f>ROUND(Bd_BSB_Dos/1.5,-2)</f>
        <v>0</v>
      </c>
      <c r="E8" s="619"/>
    </row>
    <row r="9" spans="1:6" ht="80.099999999999994" customHeight="1" x14ac:dyDescent="0.2">
      <c r="A9" s="615"/>
      <c r="B9" s="616"/>
      <c r="C9" s="617"/>
      <c r="D9" s="266">
        <f>ROUND(D8/0.79/1000,2)</f>
        <v>0</v>
      </c>
      <c r="E9" s="620"/>
    </row>
  </sheetData>
  <mergeCells count="5">
    <mergeCell ref="A8:A9"/>
    <mergeCell ref="B8:B9"/>
    <mergeCell ref="C8:C9"/>
    <mergeCell ref="A1:E1"/>
    <mergeCell ref="E5:E9"/>
  </mergeCells>
  <pageMargins left="0.7" right="0.7" top="0.78740157499999996" bottom="0.78740157499999996"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20"/>
  <sheetViews>
    <sheetView showGridLines="0" workbookViewId="0">
      <pane ySplit="1" topLeftCell="A2" activePane="bottomLeft" state="frozen"/>
      <selection activeCell="A2" sqref="A2:B3"/>
      <selection pane="bottomLeft" activeCell="A2" sqref="A2"/>
    </sheetView>
  </sheetViews>
  <sheetFormatPr baseColWidth="10" defaultRowHeight="20.25" x14ac:dyDescent="0.2"/>
  <cols>
    <col min="1" max="1" width="10" style="497" bestFit="1" customWidth="1"/>
    <col min="2" max="2" width="133.140625" style="54" customWidth="1"/>
    <col min="3" max="3" width="85.85546875" style="50" customWidth="1"/>
    <col min="4" max="16384" width="11.42578125" style="50"/>
  </cols>
  <sheetData>
    <row r="1" spans="1:3" s="51" customFormat="1" ht="63.75" customHeight="1" x14ac:dyDescent="0.2">
      <c r="A1" s="495" t="s">
        <v>166</v>
      </c>
      <c r="B1" s="53" t="s">
        <v>167</v>
      </c>
      <c r="C1" s="492" t="s">
        <v>558</v>
      </c>
    </row>
    <row r="2" spans="1:3" x14ac:dyDescent="0.2">
      <c r="A2" s="496">
        <v>1</v>
      </c>
      <c r="B2" s="52" t="s">
        <v>164</v>
      </c>
      <c r="C2" s="92"/>
    </row>
    <row r="3" spans="1:3" ht="45" x14ac:dyDescent="0.2">
      <c r="A3" s="496">
        <v>2</v>
      </c>
      <c r="B3" s="52" t="s">
        <v>165</v>
      </c>
    </row>
    <row r="4" spans="1:3" ht="49.5" x14ac:dyDescent="0.2">
      <c r="A4" s="496">
        <v>3</v>
      </c>
      <c r="B4" s="52" t="s">
        <v>559</v>
      </c>
    </row>
    <row r="5" spans="1:3" ht="45" x14ac:dyDescent="0.2">
      <c r="A5" s="496">
        <v>4</v>
      </c>
      <c r="B5" s="52" t="s">
        <v>560</v>
      </c>
    </row>
    <row r="6" spans="1:3" ht="49.5" x14ac:dyDescent="0.2">
      <c r="A6" s="496">
        <v>5</v>
      </c>
      <c r="B6" s="52" t="s">
        <v>561</v>
      </c>
    </row>
    <row r="7" spans="1:3" ht="34.5" x14ac:dyDescent="0.2">
      <c r="A7" s="496">
        <v>6</v>
      </c>
      <c r="B7" s="52" t="s">
        <v>562</v>
      </c>
    </row>
    <row r="8" spans="1:3" ht="34.5" x14ac:dyDescent="0.2">
      <c r="A8" s="496">
        <v>7</v>
      </c>
      <c r="B8" s="52" t="s">
        <v>563</v>
      </c>
    </row>
    <row r="9" spans="1:3" ht="30" x14ac:dyDescent="0.2">
      <c r="A9" s="496">
        <v>8</v>
      </c>
      <c r="B9" s="52" t="s">
        <v>564</v>
      </c>
    </row>
    <row r="10" spans="1:3" ht="39" x14ac:dyDescent="0.2">
      <c r="A10" s="496">
        <v>9</v>
      </c>
      <c r="B10" s="52" t="s">
        <v>565</v>
      </c>
    </row>
    <row r="11" spans="1:3" ht="39" x14ac:dyDescent="0.2">
      <c r="A11" s="496">
        <v>10</v>
      </c>
      <c r="B11" s="493" t="s">
        <v>566</v>
      </c>
    </row>
    <row r="12" spans="1:3" ht="88.5" x14ac:dyDescent="0.2">
      <c r="A12" s="496">
        <v>11</v>
      </c>
      <c r="B12" s="493" t="s">
        <v>567</v>
      </c>
    </row>
    <row r="13" spans="1:3" ht="39" x14ac:dyDescent="0.2">
      <c r="A13" s="496">
        <v>12</v>
      </c>
      <c r="B13" s="494" t="s">
        <v>568</v>
      </c>
    </row>
    <row r="14" spans="1:3" x14ac:dyDescent="0.2">
      <c r="A14" s="496">
        <v>13</v>
      </c>
      <c r="B14" s="493" t="s">
        <v>168</v>
      </c>
    </row>
    <row r="15" spans="1:3" x14ac:dyDescent="0.2">
      <c r="A15" s="496">
        <v>14</v>
      </c>
      <c r="B15" s="55" t="s">
        <v>169</v>
      </c>
    </row>
    <row r="16" spans="1:3" x14ac:dyDescent="0.2">
      <c r="A16" s="496">
        <v>15</v>
      </c>
      <c r="B16" s="55" t="s">
        <v>569</v>
      </c>
    </row>
    <row r="17" spans="1:2" ht="30" x14ac:dyDescent="0.2">
      <c r="A17" s="496">
        <v>16</v>
      </c>
      <c r="B17" s="493" t="s">
        <v>570</v>
      </c>
    </row>
    <row r="18" spans="1:2" x14ac:dyDescent="0.2">
      <c r="A18" s="496">
        <v>17</v>
      </c>
      <c r="B18" s="55" t="s">
        <v>571</v>
      </c>
    </row>
    <row r="19" spans="1:2" ht="45" x14ac:dyDescent="0.2">
      <c r="A19" s="496">
        <v>18</v>
      </c>
      <c r="B19" s="493" t="s">
        <v>572</v>
      </c>
    </row>
    <row r="20" spans="1:2" x14ac:dyDescent="0.2">
      <c r="A20" s="496">
        <v>19</v>
      </c>
      <c r="B20" s="493" t="s">
        <v>573</v>
      </c>
    </row>
  </sheetData>
  <pageMargins left="0.7" right="0.7" top="0.78740157499999996" bottom="0.78740157499999996" header="0.3" footer="0.3"/>
  <pageSetup paperSize="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FFCC"/>
  </sheetPr>
  <dimension ref="A1:E17"/>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44.85546875" style="3" customWidth="1"/>
    <col min="2" max="2" width="15.140625" style="242" customWidth="1"/>
    <col min="3" max="3" width="83.7109375" style="242" customWidth="1"/>
    <col min="4" max="4" width="21.28515625" style="242" bestFit="1" customWidth="1"/>
    <col min="5" max="5" width="72.85546875" style="242" customWidth="1"/>
    <col min="6" max="16384" width="11.42578125" style="242"/>
  </cols>
  <sheetData>
    <row r="1" spans="1:5" ht="60" customHeight="1" x14ac:dyDescent="0.2">
      <c r="A1" s="611" t="s">
        <v>387</v>
      </c>
      <c r="B1" s="611"/>
      <c r="C1" s="611"/>
      <c r="D1" s="611"/>
      <c r="E1" s="611"/>
    </row>
    <row r="2" spans="1:5" ht="39.950000000000003" customHeight="1" x14ac:dyDescent="0.2">
      <c r="A2" s="245" t="s">
        <v>97</v>
      </c>
      <c r="B2" s="243" t="s">
        <v>188</v>
      </c>
      <c r="C2" s="245" t="s">
        <v>162</v>
      </c>
      <c r="D2" s="243" t="s">
        <v>299</v>
      </c>
      <c r="E2" s="218" t="s">
        <v>108</v>
      </c>
    </row>
    <row r="3" spans="1:5" ht="120" customHeight="1" thickBot="1" x14ac:dyDescent="0.25">
      <c r="A3" s="218" t="s">
        <v>209</v>
      </c>
      <c r="B3" s="243" t="s">
        <v>11</v>
      </c>
      <c r="C3" s="247"/>
      <c r="D3" s="313"/>
      <c r="E3" s="399"/>
    </row>
    <row r="4" spans="1:5" ht="170.1" customHeight="1" thickTop="1" thickBot="1" x14ac:dyDescent="0.25">
      <c r="A4" s="245" t="s">
        <v>77</v>
      </c>
      <c r="B4" s="14" t="s">
        <v>76</v>
      </c>
      <c r="C4" s="247"/>
      <c r="D4" s="314"/>
      <c r="E4" s="238"/>
    </row>
    <row r="5" spans="1:5" ht="60" customHeight="1" thickTop="1" thickBot="1" x14ac:dyDescent="0.25">
      <c r="A5" s="234" t="s">
        <v>210</v>
      </c>
      <c r="B5" s="246" t="s">
        <v>208</v>
      </c>
      <c r="C5" s="238"/>
      <c r="D5" s="239"/>
      <c r="E5" s="240"/>
    </row>
    <row r="6" spans="1:5" ht="80.099999999999994" customHeight="1" thickTop="1" thickBot="1" x14ac:dyDescent="0.25">
      <c r="A6" s="154" t="s">
        <v>210</v>
      </c>
      <c r="B6" s="155" t="s">
        <v>208</v>
      </c>
      <c r="C6" s="177"/>
      <c r="D6" s="239"/>
      <c r="E6" s="240"/>
    </row>
    <row r="7" spans="1:5" ht="60" customHeight="1" thickTop="1" thickBot="1" x14ac:dyDescent="0.25">
      <c r="A7" s="218" t="s">
        <v>260</v>
      </c>
      <c r="B7" s="243" t="s">
        <v>261</v>
      </c>
      <c r="C7" s="247"/>
      <c r="D7" s="239"/>
      <c r="E7" s="248"/>
    </row>
    <row r="8" spans="1:5" ht="58.5" customHeight="1" thickTop="1" thickBot="1" x14ac:dyDescent="0.25">
      <c r="A8" s="218" t="s">
        <v>16</v>
      </c>
      <c r="B8" s="243" t="s">
        <v>17</v>
      </c>
      <c r="C8" s="247"/>
      <c r="D8" s="315"/>
      <c r="E8" s="238"/>
    </row>
    <row r="9" spans="1:5" ht="27.75" customHeight="1" thickTop="1" thickBot="1" x14ac:dyDescent="0.25">
      <c r="A9" s="218" t="s">
        <v>75</v>
      </c>
      <c r="B9" s="243" t="s">
        <v>74</v>
      </c>
      <c r="C9" s="244"/>
      <c r="D9" s="316"/>
      <c r="E9" s="238"/>
    </row>
    <row r="10" spans="1:5" ht="80.099999999999994" customHeight="1" thickTop="1" x14ac:dyDescent="0.2">
      <c r="A10" s="245" t="s">
        <v>244</v>
      </c>
      <c r="B10" s="14" t="s">
        <v>245</v>
      </c>
      <c r="C10" s="244"/>
      <c r="D10" s="317"/>
      <c r="E10" s="238"/>
    </row>
    <row r="11" spans="1:5" ht="50.1" customHeight="1" x14ac:dyDescent="0.2">
      <c r="A11" s="245" t="s">
        <v>249</v>
      </c>
      <c r="B11" s="14" t="s">
        <v>250</v>
      </c>
      <c r="C11" s="244" t="s">
        <v>246</v>
      </c>
      <c r="D11" s="124"/>
      <c r="E11" s="248"/>
    </row>
    <row r="12" spans="1:5" ht="50.1" customHeight="1" x14ac:dyDescent="0.2">
      <c r="A12" s="180" t="s">
        <v>249</v>
      </c>
      <c r="B12" s="181" t="s">
        <v>250</v>
      </c>
      <c r="C12" s="175"/>
      <c r="D12" s="124"/>
      <c r="E12" s="248"/>
    </row>
    <row r="13" spans="1:5" ht="50.1" customHeight="1" thickBot="1" x14ac:dyDescent="0.25">
      <c r="A13" s="180" t="s">
        <v>211</v>
      </c>
      <c r="B13" s="181" t="s">
        <v>253</v>
      </c>
      <c r="C13" s="177"/>
      <c r="D13" s="318"/>
      <c r="E13" s="238"/>
    </row>
    <row r="14" spans="1:5" ht="50.1" customHeight="1" thickTop="1" x14ac:dyDescent="0.2"/>
    <row r="15" spans="1:5" ht="50.1" customHeight="1" x14ac:dyDescent="0.2">
      <c r="D15" s="242" t="s">
        <v>251</v>
      </c>
      <c r="E15" s="125"/>
    </row>
    <row r="16" spans="1:5" ht="50.1" customHeight="1" x14ac:dyDescent="0.2"/>
    <row r="17" spans="5:5" ht="50.1" customHeight="1" x14ac:dyDescent="0.2">
      <c r="E17" s="125"/>
    </row>
  </sheetData>
  <mergeCells count="1">
    <mergeCell ref="A1:E1"/>
  </mergeCells>
  <pageMargins left="0.7" right="0.7" top="0.78740157499999996" bottom="0.78740157499999996"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FF"/>
  </sheetPr>
  <dimension ref="A1:E17"/>
  <sheetViews>
    <sheetView showGridLines="0" zoomScaleNormal="100" workbookViewId="0">
      <pane ySplit="2" topLeftCell="A3" activePane="bottomLeft" state="frozen"/>
      <selection activeCell="A2" sqref="A2:B3"/>
      <selection pane="bottomLeft" activeCell="D9" sqref="D9"/>
    </sheetView>
  </sheetViews>
  <sheetFormatPr baseColWidth="10" defaultRowHeight="12.75" x14ac:dyDescent="0.2"/>
  <cols>
    <col min="1" max="1" width="44.85546875" style="3" customWidth="1"/>
    <col min="2" max="2" width="15.140625" style="5" customWidth="1"/>
    <col min="3" max="3" width="83.7109375" style="5" customWidth="1"/>
    <col min="4" max="4" width="21.28515625" style="5" bestFit="1" customWidth="1"/>
    <col min="5" max="5" width="72.85546875" style="5" customWidth="1"/>
    <col min="6" max="16384" width="11.42578125" style="5"/>
  </cols>
  <sheetData>
    <row r="1" spans="1:5" s="242" customFormat="1" ht="60" customHeight="1" x14ac:dyDescent="0.2">
      <c r="A1" s="614" t="s">
        <v>583</v>
      </c>
      <c r="B1" s="614"/>
      <c r="C1" s="614"/>
      <c r="D1" s="614"/>
      <c r="E1" s="614"/>
    </row>
    <row r="2" spans="1:5" ht="39.950000000000003" customHeight="1" x14ac:dyDescent="0.2">
      <c r="A2" s="15" t="s">
        <v>97</v>
      </c>
      <c r="B2" s="7" t="s">
        <v>188</v>
      </c>
      <c r="C2" s="15" t="s">
        <v>162</v>
      </c>
      <c r="D2" s="7" t="s">
        <v>299</v>
      </c>
      <c r="E2" s="13" t="s">
        <v>108</v>
      </c>
    </row>
    <row r="3" spans="1:5" ht="120" customHeight="1" thickBot="1" x14ac:dyDescent="0.25">
      <c r="A3" s="13" t="s">
        <v>209</v>
      </c>
      <c r="B3" s="7" t="s">
        <v>11</v>
      </c>
      <c r="C3" s="60"/>
      <c r="D3" s="12">
        <f>ROUND(ÜSd_C+ÜSd_P,-2)</f>
        <v>14000</v>
      </c>
      <c r="E3" s="87" t="s">
        <v>450</v>
      </c>
    </row>
    <row r="4" spans="1:5" ht="170.1" customHeight="1" thickTop="1" thickBot="1" x14ac:dyDescent="0.25">
      <c r="A4" s="15" t="s">
        <v>77</v>
      </c>
      <c r="B4" s="14" t="s">
        <v>76</v>
      </c>
      <c r="C4" s="60"/>
      <c r="D4" s="110">
        <v>0.8</v>
      </c>
      <c r="E4" s="244" t="s">
        <v>449</v>
      </c>
    </row>
    <row r="5" spans="1:5" ht="27.75" customHeight="1" thickTop="1" thickBot="1" x14ac:dyDescent="0.25">
      <c r="A5" s="13" t="s">
        <v>75</v>
      </c>
      <c r="B5" s="7" t="s">
        <v>74</v>
      </c>
      <c r="C5" s="8"/>
      <c r="D5" s="98">
        <f>XTS_ZB/CBSB_ZB</f>
        <v>0.37643207855973815</v>
      </c>
      <c r="E5" s="60"/>
    </row>
    <row r="6" spans="1:5" s="135" customFormat="1" ht="60" customHeight="1" thickTop="1" thickBot="1" x14ac:dyDescent="0.25">
      <c r="A6" s="234" t="s">
        <v>210</v>
      </c>
      <c r="B6" s="230" t="s">
        <v>208</v>
      </c>
      <c r="C6" s="238"/>
      <c r="D6" s="239">
        <f>ÜSC_BSB*Bd_BSB_ZB</f>
        <v>12768</v>
      </c>
      <c r="E6" s="240" t="s">
        <v>316</v>
      </c>
    </row>
    <row r="7" spans="1:5" s="225" customFormat="1" ht="80.099999999999994" customHeight="1" thickTop="1" thickBot="1" x14ac:dyDescent="0.25">
      <c r="A7" s="154" t="s">
        <v>210</v>
      </c>
      <c r="B7" s="155" t="s">
        <v>208</v>
      </c>
      <c r="C7" s="177"/>
      <c r="D7" s="178">
        <f>Bd_BSB_ZB*(0.75+0.6*XTS_ZB/CBSB_ZB-((1-0.2)*0.17*0.75*tTS*FT)/(1+0.17*tTS*FT))</f>
        <v>8033.4219363927814</v>
      </c>
      <c r="E7" s="179" t="s">
        <v>317</v>
      </c>
    </row>
    <row r="8" spans="1:5" s="135" customFormat="1" ht="60" customHeight="1" thickTop="1" thickBot="1" x14ac:dyDescent="0.25">
      <c r="A8" s="144" t="s">
        <v>260</v>
      </c>
      <c r="B8" s="141" t="s">
        <v>261</v>
      </c>
      <c r="C8" s="145"/>
      <c r="D8" s="143">
        <f>Qd*(3*XP_BioP+6.8*XP_Fäll)/1000</f>
        <v>1191.45</v>
      </c>
      <c r="E8" s="142"/>
    </row>
    <row r="9" spans="1:5" ht="58.5" customHeight="1" thickTop="1" thickBot="1" x14ac:dyDescent="0.25">
      <c r="A9" s="13" t="s">
        <v>16</v>
      </c>
      <c r="B9" s="7" t="s">
        <v>17</v>
      </c>
      <c r="C9" s="60"/>
      <c r="D9" s="111">
        <f>1.072^(20-15)</f>
        <v>1.4157087841976326</v>
      </c>
      <c r="E9" s="60"/>
    </row>
    <row r="10" spans="1:5" ht="80.099999999999994" customHeight="1" thickTop="1" x14ac:dyDescent="0.2">
      <c r="A10" s="15" t="s">
        <v>244</v>
      </c>
      <c r="B10" s="14" t="s">
        <v>245</v>
      </c>
      <c r="C10" s="8"/>
      <c r="D10" s="123">
        <f>ÜSd/TSÜS</f>
        <v>1750</v>
      </c>
      <c r="E10" s="60" t="s">
        <v>247</v>
      </c>
    </row>
    <row r="11" spans="1:5" ht="50.1" customHeight="1" x14ac:dyDescent="0.2">
      <c r="A11" s="15" t="s">
        <v>249</v>
      </c>
      <c r="B11" s="14" t="s">
        <v>250</v>
      </c>
      <c r="C11" s="8" t="s">
        <v>246</v>
      </c>
      <c r="D11" s="124">
        <f>TSRS</f>
        <v>8</v>
      </c>
      <c r="E11" s="104"/>
    </row>
    <row r="12" spans="1:5" ht="50.1" customHeight="1" x14ac:dyDescent="0.2">
      <c r="A12" s="180" t="s">
        <v>249</v>
      </c>
      <c r="B12" s="181" t="s">
        <v>250</v>
      </c>
      <c r="C12" s="175"/>
      <c r="D12" s="182">
        <f>TSRS</f>
        <v>8</v>
      </c>
      <c r="E12" s="175" t="s">
        <v>252</v>
      </c>
    </row>
    <row r="13" spans="1:5" ht="50.1" customHeight="1" thickBot="1" x14ac:dyDescent="0.25">
      <c r="A13" s="180" t="s">
        <v>211</v>
      </c>
      <c r="B13" s="181" t="s">
        <v>359</v>
      </c>
      <c r="C13" s="177"/>
      <c r="D13" s="183">
        <f>MTS_BB/ÜSd</f>
        <v>16</v>
      </c>
      <c r="E13" s="177" t="s">
        <v>360</v>
      </c>
    </row>
    <row r="14" spans="1:5" ht="50.1" customHeight="1" thickTop="1" x14ac:dyDescent="0.2"/>
    <row r="15" spans="1:5" ht="50.1" customHeight="1" x14ac:dyDescent="0.2">
      <c r="D15" s="5" t="s">
        <v>251</v>
      </c>
      <c r="E15" s="125"/>
    </row>
    <row r="16" spans="1:5" ht="50.1" customHeight="1" x14ac:dyDescent="0.2"/>
    <row r="17" spans="5:5" ht="50.1" customHeight="1" thickTop="1" x14ac:dyDescent="0.2">
      <c r="E17" s="125"/>
    </row>
  </sheetData>
  <mergeCells count="1">
    <mergeCell ref="A1:E1"/>
  </mergeCells>
  <pageMargins left="0.7" right="0.7" top="0.78740157499999996" bottom="0.78740157499999996"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99"/>
  </sheetPr>
  <dimension ref="A1:F13"/>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66.28515625" style="167" customWidth="1"/>
    <col min="4" max="4" width="26.5703125" style="45" bestFit="1" customWidth="1"/>
    <col min="5" max="5" width="81" style="45" customWidth="1"/>
    <col min="6" max="6" width="14.5703125" style="45" hidden="1" customWidth="1"/>
    <col min="7" max="9" width="11.42578125" style="167"/>
    <col min="10" max="10" width="19.140625" style="167" bestFit="1" customWidth="1"/>
    <col min="11" max="11" width="13.28515625" style="167" bestFit="1" customWidth="1"/>
    <col min="12" max="16384" width="11.42578125" style="167"/>
  </cols>
  <sheetData>
    <row r="1" spans="1:6" ht="60" customHeight="1" x14ac:dyDescent="0.2">
      <c r="A1" s="611" t="s">
        <v>393</v>
      </c>
      <c r="B1" s="611"/>
      <c r="C1" s="611"/>
      <c r="D1" s="611"/>
      <c r="E1" s="611"/>
    </row>
    <row r="2" spans="1:6" ht="39.950000000000003" customHeight="1" thickBot="1" x14ac:dyDescent="0.25">
      <c r="A2" s="324" t="s">
        <v>97</v>
      </c>
      <c r="B2" s="325" t="s">
        <v>96</v>
      </c>
      <c r="C2" s="324" t="s">
        <v>162</v>
      </c>
      <c r="D2" s="325" t="s">
        <v>299</v>
      </c>
      <c r="E2" s="328" t="s">
        <v>108</v>
      </c>
      <c r="F2" s="57"/>
    </row>
    <row r="3" spans="1:6" ht="67.5" customHeight="1" thickTop="1" thickBot="1" x14ac:dyDescent="0.25">
      <c r="A3" s="218" t="s">
        <v>20</v>
      </c>
      <c r="B3" s="243" t="s">
        <v>12</v>
      </c>
      <c r="C3" s="244"/>
      <c r="D3" s="307"/>
      <c r="E3" s="244"/>
      <c r="F3" s="58" t="e">
        <f>#REF!*'7 ÜSd, FT, tTS'!#REF!</f>
        <v>#REF!</v>
      </c>
    </row>
    <row r="4" spans="1:6" s="242" customFormat="1" ht="70.5" customHeight="1" thickTop="1" thickBot="1" x14ac:dyDescent="0.25">
      <c r="A4" s="218" t="s">
        <v>354</v>
      </c>
      <c r="B4" s="59" t="s">
        <v>172</v>
      </c>
      <c r="C4" s="247"/>
      <c r="D4" s="308"/>
      <c r="E4" s="244"/>
      <c r="F4" s="242" t="e">
        <f>(F11*#REF!)/(#REF!*#REF!+#REF!*#REF!+400*#REF!)</f>
        <v>#REF!</v>
      </c>
    </row>
    <row r="5" spans="1:6" ht="99.95" customHeight="1" thickTop="1" thickBot="1" x14ac:dyDescent="0.25">
      <c r="A5" s="218" t="s">
        <v>21</v>
      </c>
      <c r="B5" s="243" t="s">
        <v>13</v>
      </c>
      <c r="C5" s="77" t="s">
        <v>87</v>
      </c>
      <c r="D5" s="309"/>
      <c r="E5" s="248"/>
      <c r="F5" s="90">
        <v>3000</v>
      </c>
    </row>
    <row r="6" spans="1:6" ht="99.95" customHeight="1" thickTop="1" thickBot="1" x14ac:dyDescent="0.25">
      <c r="A6" s="154" t="s">
        <v>21</v>
      </c>
      <c r="B6" s="155" t="s">
        <v>13</v>
      </c>
      <c r="C6" s="156" t="s">
        <v>279</v>
      </c>
      <c r="D6" s="309"/>
      <c r="E6" s="248"/>
      <c r="F6" s="171"/>
    </row>
    <row r="7" spans="1:6" ht="80.099999999999994" customHeight="1" thickTop="1" thickBot="1" x14ac:dyDescent="0.25">
      <c r="A7" s="154" t="s">
        <v>21</v>
      </c>
      <c r="B7" s="155" t="s">
        <v>13</v>
      </c>
      <c r="C7" s="156"/>
      <c r="D7" s="310"/>
      <c r="E7" s="248"/>
      <c r="F7" s="171"/>
    </row>
    <row r="8" spans="1:6" ht="159.94999999999999" customHeight="1" thickTop="1" thickBot="1" x14ac:dyDescent="0.25">
      <c r="A8" s="218" t="s">
        <v>212</v>
      </c>
      <c r="B8" s="243" t="s">
        <v>213</v>
      </c>
      <c r="C8" s="77"/>
      <c r="D8" s="311"/>
      <c r="E8" s="248"/>
      <c r="F8" s="171"/>
    </row>
    <row r="9" spans="1:6" ht="80.099999999999994" customHeight="1" thickTop="1" thickBot="1" x14ac:dyDescent="0.25">
      <c r="A9" s="218" t="s">
        <v>215</v>
      </c>
      <c r="B9" s="243" t="s">
        <v>214</v>
      </c>
      <c r="C9" s="77"/>
      <c r="D9" s="312"/>
      <c r="E9" s="248"/>
      <c r="F9" s="171"/>
    </row>
    <row r="10" spans="1:6" ht="80.099999999999994" customHeight="1" thickTop="1" thickBot="1" x14ac:dyDescent="0.25">
      <c r="A10" s="154" t="s">
        <v>215</v>
      </c>
      <c r="B10" s="155" t="s">
        <v>214</v>
      </c>
      <c r="C10" s="156"/>
      <c r="D10" s="312"/>
      <c r="E10" s="248"/>
      <c r="F10" s="171"/>
    </row>
    <row r="11" spans="1:6" ht="41.25" customHeight="1" thickTop="1" thickBot="1" x14ac:dyDescent="0.25">
      <c r="A11" s="218" t="s">
        <v>85</v>
      </c>
      <c r="B11" s="243" t="s">
        <v>86</v>
      </c>
      <c r="C11" s="244"/>
      <c r="D11" s="310"/>
      <c r="E11" s="248"/>
      <c r="F11" s="91">
        <f>F5-F12</f>
        <v>2250</v>
      </c>
    </row>
    <row r="12" spans="1:6" ht="41.25" customHeight="1" thickTop="1" thickBot="1" x14ac:dyDescent="0.25">
      <c r="A12" s="218" t="s">
        <v>83</v>
      </c>
      <c r="B12" s="243" t="s">
        <v>84</v>
      </c>
      <c r="C12" s="244"/>
      <c r="D12" s="310"/>
      <c r="E12" s="248"/>
      <c r="F12" s="20">
        <f>0.25*F5</f>
        <v>750</v>
      </c>
    </row>
    <row r="13" spans="1:6" ht="13.5" thickTop="1" x14ac:dyDescent="0.2">
      <c r="E13" s="56"/>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66FFFF"/>
  </sheetPr>
  <dimension ref="A1:G13"/>
  <sheetViews>
    <sheetView showGridLines="0" tabSelected="1"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66.28515625" style="31" customWidth="1"/>
    <col min="4" max="4" width="22.85546875" style="45" bestFit="1" customWidth="1"/>
    <col min="5" max="5" width="81" style="45" customWidth="1"/>
    <col min="6" max="6" width="14.5703125" style="45" hidden="1" customWidth="1"/>
    <col min="7" max="9" width="11.42578125" style="31"/>
    <col min="10" max="10" width="19.140625" style="31" bestFit="1" customWidth="1"/>
    <col min="11" max="11" width="13.28515625" style="31" bestFit="1" customWidth="1"/>
    <col min="12" max="16384" width="11.42578125" style="31"/>
  </cols>
  <sheetData>
    <row r="1" spans="1:7" s="167" customFormat="1" ht="60" customHeight="1" x14ac:dyDescent="0.2">
      <c r="A1" s="614" t="s">
        <v>584</v>
      </c>
      <c r="B1" s="614"/>
      <c r="C1" s="614"/>
      <c r="D1" s="614"/>
      <c r="E1" s="614"/>
      <c r="F1" s="45"/>
    </row>
    <row r="2" spans="1:7" ht="39.950000000000003" customHeight="1" thickBot="1" x14ac:dyDescent="0.25">
      <c r="A2" s="324" t="s">
        <v>97</v>
      </c>
      <c r="B2" s="325" t="s">
        <v>96</v>
      </c>
      <c r="C2" s="324" t="s">
        <v>162</v>
      </c>
      <c r="D2" s="325" t="s">
        <v>299</v>
      </c>
      <c r="E2" s="328" t="s">
        <v>108</v>
      </c>
      <c r="F2" s="57"/>
    </row>
    <row r="3" spans="1:7" ht="67.5" customHeight="1" thickTop="1" thickBot="1" x14ac:dyDescent="0.25">
      <c r="A3" s="13" t="s">
        <v>20</v>
      </c>
      <c r="B3" s="7" t="s">
        <v>12</v>
      </c>
      <c r="C3" s="8"/>
      <c r="D3" s="88">
        <f>tTS_Bem*ÜSd</f>
        <v>224000</v>
      </c>
      <c r="E3" s="8"/>
      <c r="F3" s="58" t="e">
        <f>#REF!*'7 ÜSd, FT, tTS'!#REF!</f>
        <v>#REF!</v>
      </c>
      <c r="G3" s="31">
        <f>3.3*66200</f>
        <v>218460</v>
      </c>
    </row>
    <row r="4" spans="1:7" s="5" customFormat="1" ht="70.5" customHeight="1" thickTop="1" thickBot="1" x14ac:dyDescent="0.25">
      <c r="A4" s="154" t="s">
        <v>354</v>
      </c>
      <c r="B4" s="273" t="s">
        <v>357</v>
      </c>
      <c r="C4" s="177"/>
      <c r="D4" s="274">
        <f>MTS_BB/ÜSd</f>
        <v>16</v>
      </c>
      <c r="E4" s="175" t="s">
        <v>358</v>
      </c>
      <c r="F4" s="5" t="e">
        <f>(F11*#REF!)/(#REF!*#REF!+#REF!*#REF!+400*#REF!)</f>
        <v>#REF!</v>
      </c>
    </row>
    <row r="5" spans="1:7" ht="99.95" customHeight="1" thickTop="1" thickBot="1" x14ac:dyDescent="0.25">
      <c r="A5" s="13" t="s">
        <v>21</v>
      </c>
      <c r="B5" s="7" t="s">
        <v>13</v>
      </c>
      <c r="C5" s="77" t="s">
        <v>87</v>
      </c>
      <c r="D5" s="95">
        <f>MTS_BB/TSBB</f>
        <v>68000</v>
      </c>
      <c r="E5" s="8" t="s">
        <v>456</v>
      </c>
      <c r="F5" s="90">
        <v>3000</v>
      </c>
    </row>
    <row r="6" spans="1:7" s="167" customFormat="1" ht="99.95" customHeight="1" thickTop="1" thickBot="1" x14ac:dyDescent="0.25">
      <c r="A6" s="154" t="s">
        <v>21</v>
      </c>
      <c r="B6" s="155" t="s">
        <v>13</v>
      </c>
      <c r="C6" s="156" t="s">
        <v>279</v>
      </c>
      <c r="D6" s="176">
        <f>ÜSd*tTS_Bem/TSBB</f>
        <v>68000</v>
      </c>
      <c r="E6" s="175"/>
      <c r="F6" s="171"/>
    </row>
    <row r="7" spans="1:7" s="167" customFormat="1" ht="80.099999999999994" customHeight="1" thickTop="1" thickBot="1" x14ac:dyDescent="0.25">
      <c r="A7" s="154" t="s">
        <v>21</v>
      </c>
      <c r="B7" s="155" t="s">
        <v>13</v>
      </c>
      <c r="C7" s="156"/>
      <c r="D7" s="176">
        <f>VN+VD</f>
        <v>68000</v>
      </c>
      <c r="E7" s="175" t="s">
        <v>280</v>
      </c>
      <c r="F7" s="168"/>
    </row>
    <row r="8" spans="1:7" ht="159.94999999999999" customHeight="1" thickTop="1" thickBot="1" x14ac:dyDescent="0.25">
      <c r="A8" s="13" t="s">
        <v>212</v>
      </c>
      <c r="B8" s="7" t="s">
        <v>213</v>
      </c>
      <c r="C8" s="77"/>
      <c r="D8" s="93">
        <f>Bd_BSB_ZB/VBB</f>
        <v>0.23470588235294115</v>
      </c>
      <c r="E8" s="8"/>
      <c r="F8" s="89"/>
    </row>
    <row r="9" spans="1:7" ht="80.099999999999994" customHeight="1" thickTop="1" thickBot="1" x14ac:dyDescent="0.25">
      <c r="A9" s="13" t="s">
        <v>215</v>
      </c>
      <c r="B9" s="7" t="s">
        <v>214</v>
      </c>
      <c r="C9" s="77"/>
      <c r="D9" s="94">
        <f>BR_BSB/TSBB</f>
        <v>7.1249999999999994E-2</v>
      </c>
      <c r="E9" s="8" t="s">
        <v>241</v>
      </c>
      <c r="F9" s="89"/>
    </row>
    <row r="10" spans="1:7" ht="80.099999999999994" customHeight="1" thickTop="1" thickBot="1" x14ac:dyDescent="0.25">
      <c r="A10" s="154" t="s">
        <v>215</v>
      </c>
      <c r="B10" s="155" t="s">
        <v>214</v>
      </c>
      <c r="C10" s="156"/>
      <c r="D10" s="174">
        <f>Bd_BSB_ZB/VBB/TSBB</f>
        <v>7.1249999999999994E-2</v>
      </c>
      <c r="E10" s="175"/>
      <c r="F10" s="89"/>
    </row>
    <row r="11" spans="1:7" ht="41.25" customHeight="1" thickTop="1" thickBot="1" x14ac:dyDescent="0.25">
      <c r="A11" s="13" t="s">
        <v>85</v>
      </c>
      <c r="B11" s="7" t="s">
        <v>86</v>
      </c>
      <c r="C11" s="8"/>
      <c r="D11" s="95">
        <f>VBB*(1-VD_VBB_Quotient)</f>
        <v>40299.52542192972</v>
      </c>
      <c r="E11" s="8"/>
      <c r="F11" s="91">
        <f>F5-F12</f>
        <v>2250</v>
      </c>
    </row>
    <row r="12" spans="1:7" ht="41.25" customHeight="1" thickTop="1" thickBot="1" x14ac:dyDescent="0.25">
      <c r="A12" s="13" t="s">
        <v>83</v>
      </c>
      <c r="B12" s="7" t="s">
        <v>84</v>
      </c>
      <c r="C12" s="8"/>
      <c r="D12" s="95">
        <f>VBB*VD_VBB_Quotient</f>
        <v>27700.47457807028</v>
      </c>
      <c r="E12" s="8"/>
      <c r="F12" s="20">
        <f>0.25*F5</f>
        <v>750</v>
      </c>
    </row>
    <row r="13" spans="1:7" ht="13.5" thickTop="1" x14ac:dyDescent="0.2">
      <c r="E13" s="56"/>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99"/>
  </sheetPr>
  <dimension ref="A1:G13"/>
  <sheetViews>
    <sheetView showGridLines="0" zoomScaleNormal="100" workbookViewId="0">
      <pane ySplit="2" topLeftCell="A3" activePane="bottomLeft" state="frozen"/>
      <selection activeCell="A2" sqref="A2:B3"/>
      <selection pane="bottomLeft" activeCell="A3" sqref="A3"/>
    </sheetView>
  </sheetViews>
  <sheetFormatPr baseColWidth="10" defaultRowHeight="12.75" x14ac:dyDescent="0.2"/>
  <cols>
    <col min="1" max="1" width="32.28515625" style="56" customWidth="1"/>
    <col min="2" max="2" width="11.5703125" style="45" customWidth="1"/>
    <col min="3" max="3" width="76.7109375" style="167" customWidth="1"/>
    <col min="4" max="4" width="14.28515625" style="45" customWidth="1"/>
    <col min="5" max="5" width="76.140625" style="45" customWidth="1"/>
    <col min="6" max="6" width="14.5703125" style="45" hidden="1" customWidth="1"/>
    <col min="7" max="16384" width="11.42578125" style="167"/>
  </cols>
  <sheetData>
    <row r="1" spans="1:7" ht="60" customHeight="1" x14ac:dyDescent="0.2">
      <c r="A1" s="621" t="s">
        <v>394</v>
      </c>
      <c r="B1" s="621"/>
      <c r="C1" s="621"/>
      <c r="D1" s="621"/>
      <c r="E1" s="621"/>
    </row>
    <row r="2" spans="1:7" ht="39.950000000000003" customHeight="1" x14ac:dyDescent="0.2">
      <c r="A2" s="245" t="s">
        <v>97</v>
      </c>
      <c r="B2" s="346" t="s">
        <v>96</v>
      </c>
      <c r="C2" s="245" t="s">
        <v>162</v>
      </c>
      <c r="D2" s="346" t="s">
        <v>160</v>
      </c>
      <c r="E2" s="344" t="s">
        <v>108</v>
      </c>
      <c r="F2" s="84"/>
    </row>
    <row r="3" spans="1:7" ht="249.95" customHeight="1" x14ac:dyDescent="0.2">
      <c r="A3" s="344" t="s">
        <v>3</v>
      </c>
      <c r="B3" s="345" t="s">
        <v>19</v>
      </c>
      <c r="C3" s="244"/>
      <c r="D3" s="339"/>
      <c r="E3" s="169" t="s">
        <v>395</v>
      </c>
      <c r="F3" s="18"/>
    </row>
    <row r="4" spans="1:7" ht="60" customHeight="1" x14ac:dyDescent="0.2">
      <c r="A4" s="154" t="s">
        <v>3</v>
      </c>
      <c r="B4" s="181" t="s">
        <v>19</v>
      </c>
      <c r="C4" s="175"/>
      <c r="D4" s="352"/>
      <c r="E4" s="169"/>
    </row>
    <row r="5" spans="1:7" ht="200.1" customHeight="1" x14ac:dyDescent="0.2">
      <c r="A5" s="344" t="s">
        <v>194</v>
      </c>
      <c r="B5" s="345" t="s">
        <v>195</v>
      </c>
      <c r="C5" s="77" t="s">
        <v>200</v>
      </c>
      <c r="D5" s="340"/>
      <c r="E5" s="169"/>
      <c r="F5" s="18"/>
    </row>
    <row r="6" spans="1:7" s="173" customFormat="1" ht="60" customHeight="1" x14ac:dyDescent="0.2">
      <c r="A6" s="154" t="s">
        <v>194</v>
      </c>
      <c r="B6" s="181" t="s">
        <v>195</v>
      </c>
      <c r="C6" s="156"/>
      <c r="D6" s="353"/>
      <c r="E6" s="169"/>
      <c r="F6" s="76"/>
    </row>
    <row r="7" spans="1:7" s="241" customFormat="1" ht="350.1" customHeight="1" x14ac:dyDescent="0.2">
      <c r="A7" s="344" t="s">
        <v>73</v>
      </c>
      <c r="B7" s="346" t="s">
        <v>42</v>
      </c>
      <c r="C7" s="245"/>
      <c r="D7" s="306"/>
      <c r="E7" s="341"/>
    </row>
    <row r="8" spans="1:7" s="241" customFormat="1" ht="81.75" customHeight="1" x14ac:dyDescent="0.2">
      <c r="A8" s="154" t="s">
        <v>41</v>
      </c>
      <c r="B8" s="155" t="s">
        <v>42</v>
      </c>
      <c r="C8" s="185"/>
      <c r="D8" s="354"/>
      <c r="E8" s="248"/>
    </row>
    <row r="9" spans="1:7" s="241" customFormat="1" ht="63" customHeight="1" x14ac:dyDescent="0.2">
      <c r="A9" s="344" t="s">
        <v>4</v>
      </c>
      <c r="B9" s="346" t="s">
        <v>5</v>
      </c>
      <c r="C9" s="80" t="s">
        <v>89</v>
      </c>
      <c r="D9" s="305"/>
      <c r="E9" s="248"/>
    </row>
    <row r="10" spans="1:7" s="241" customFormat="1" ht="135" customHeight="1" x14ac:dyDescent="0.2">
      <c r="A10" s="344" t="s">
        <v>6</v>
      </c>
      <c r="B10" s="346" t="s">
        <v>7</v>
      </c>
      <c r="C10" s="244" t="s">
        <v>88</v>
      </c>
      <c r="D10" s="293"/>
      <c r="E10" s="248"/>
    </row>
    <row r="11" spans="1:7" ht="350.1" customHeight="1" x14ac:dyDescent="0.2">
      <c r="A11" s="344" t="s">
        <v>196</v>
      </c>
      <c r="B11" s="345" t="s">
        <v>197</v>
      </c>
      <c r="C11" s="244"/>
      <c r="D11" s="305"/>
      <c r="E11" s="169"/>
    </row>
    <row r="12" spans="1:7" s="241" customFormat="1" ht="81.75" customHeight="1" x14ac:dyDescent="0.2">
      <c r="A12" s="154" t="s">
        <v>8</v>
      </c>
      <c r="B12" s="155" t="s">
        <v>9</v>
      </c>
      <c r="C12" s="175"/>
      <c r="D12" s="354"/>
      <c r="E12" s="248"/>
      <c r="G12" s="241" t="s">
        <v>43</v>
      </c>
    </row>
    <row r="13" spans="1:7" ht="60" customHeight="1" x14ac:dyDescent="0.2">
      <c r="A13" s="154" t="s">
        <v>6</v>
      </c>
      <c r="B13" s="155" t="s">
        <v>7</v>
      </c>
      <c r="C13" s="175"/>
      <c r="D13" s="355"/>
      <c r="E13" s="248"/>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FFFF"/>
  </sheetPr>
  <dimension ref="A1:H23"/>
  <sheetViews>
    <sheetView showGridLines="0" zoomScaleNormal="100" workbookViewId="0">
      <pane ySplit="2" topLeftCell="A9" activePane="bottomLeft" state="frozen"/>
      <selection activeCell="A2" sqref="A2:B3"/>
      <selection pane="bottomLeft" activeCell="D7" sqref="D7"/>
    </sheetView>
  </sheetViews>
  <sheetFormatPr baseColWidth="10" defaultRowHeight="12.75" x14ac:dyDescent="0.2"/>
  <cols>
    <col min="1" max="1" width="32.28515625" style="56" customWidth="1"/>
    <col min="2" max="2" width="11.5703125" style="45" customWidth="1"/>
    <col min="3" max="3" width="76.7109375" style="31" customWidth="1"/>
    <col min="4" max="4" width="14.28515625" style="45" customWidth="1"/>
    <col min="5" max="5" width="76.140625" style="45" customWidth="1"/>
    <col min="6" max="6" width="14.5703125" style="45" hidden="1" customWidth="1"/>
    <col min="7" max="16384" width="11.42578125" style="31"/>
  </cols>
  <sheetData>
    <row r="1" spans="1:8" s="167" customFormat="1" ht="60" customHeight="1" x14ac:dyDescent="0.2">
      <c r="A1" s="622" t="s">
        <v>585</v>
      </c>
      <c r="B1" s="623"/>
      <c r="C1" s="623"/>
      <c r="D1" s="623"/>
      <c r="E1" s="624"/>
      <c r="F1" s="45"/>
    </row>
    <row r="2" spans="1:8" s="167" customFormat="1" ht="39.950000000000003" customHeight="1" x14ac:dyDescent="0.2">
      <c r="A2" s="245" t="s">
        <v>97</v>
      </c>
      <c r="B2" s="331" t="s">
        <v>96</v>
      </c>
      <c r="C2" s="245" t="s">
        <v>162</v>
      </c>
      <c r="D2" s="331" t="s">
        <v>160</v>
      </c>
      <c r="E2" s="218" t="s">
        <v>108</v>
      </c>
      <c r="F2" s="84"/>
    </row>
    <row r="3" spans="1:8" s="167" customFormat="1" ht="249.95" customHeight="1" thickBot="1" x14ac:dyDescent="0.25">
      <c r="A3" s="218" t="s">
        <v>3</v>
      </c>
      <c r="B3" s="327" t="s">
        <v>19</v>
      </c>
      <c r="C3" s="244"/>
      <c r="D3" s="78">
        <v>100</v>
      </c>
      <c r="E3" s="332" t="s">
        <v>457</v>
      </c>
      <c r="F3" s="18"/>
    </row>
    <row r="4" spans="1:8" s="167" customFormat="1" ht="60" customHeight="1" thickTop="1" thickBot="1" x14ac:dyDescent="0.25">
      <c r="A4" s="154" t="s">
        <v>3</v>
      </c>
      <c r="B4" s="181" t="s">
        <v>19</v>
      </c>
      <c r="C4" s="175"/>
      <c r="D4" s="188">
        <f>(1000/TSBS)*tE^(1/3)</f>
        <v>109.55835216477159</v>
      </c>
      <c r="E4" s="187" t="s">
        <v>199</v>
      </c>
      <c r="F4" s="45"/>
    </row>
    <row r="5" spans="1:8" s="167" customFormat="1" ht="200.1" customHeight="1" thickTop="1" thickBot="1" x14ac:dyDescent="0.25">
      <c r="A5" s="218" t="s">
        <v>194</v>
      </c>
      <c r="B5" s="327" t="s">
        <v>195</v>
      </c>
      <c r="C5" s="77" t="s">
        <v>200</v>
      </c>
      <c r="D5" s="74">
        <v>2</v>
      </c>
      <c r="E5" s="332" t="s">
        <v>198</v>
      </c>
      <c r="F5" s="18"/>
    </row>
    <row r="6" spans="1:8" s="173" customFormat="1" ht="60" customHeight="1" thickTop="1" thickBot="1" x14ac:dyDescent="0.25">
      <c r="A6" s="154" t="s">
        <v>194</v>
      </c>
      <c r="B6" s="181" t="s">
        <v>195</v>
      </c>
      <c r="C6" s="156"/>
      <c r="D6" s="186">
        <f>(TSBS*ISV/1000)^3</f>
        <v>1.5208749999999995</v>
      </c>
      <c r="E6" s="187" t="s">
        <v>454</v>
      </c>
      <c r="F6" s="76"/>
      <c r="H6" s="173">
        <f>(10*125/1000)^3</f>
        <v>1.953125</v>
      </c>
    </row>
    <row r="7" spans="1:8" s="241" customFormat="1" ht="350.1" customHeight="1" thickTop="1" thickBot="1" x14ac:dyDescent="0.25">
      <c r="A7" s="218" t="s">
        <v>73</v>
      </c>
      <c r="B7" s="331" t="s">
        <v>42</v>
      </c>
      <c r="C7" s="245"/>
      <c r="D7" s="75">
        <v>11.5</v>
      </c>
      <c r="E7" s="79" t="s">
        <v>453</v>
      </c>
    </row>
    <row r="8" spans="1:8" s="241" customFormat="1" ht="81.75" customHeight="1" thickTop="1" thickBot="1" x14ac:dyDescent="0.25">
      <c r="A8" s="154" t="s">
        <v>41</v>
      </c>
      <c r="B8" s="155" t="s">
        <v>42</v>
      </c>
      <c r="C8" s="185"/>
      <c r="D8" s="184">
        <f>1000/ISV*tE^(1/3)</f>
        <v>12.599210498948732</v>
      </c>
      <c r="E8" s="175" t="s">
        <v>201</v>
      </c>
    </row>
    <row r="9" spans="1:8" s="241" customFormat="1" ht="63" customHeight="1" thickTop="1" x14ac:dyDescent="0.2">
      <c r="A9" s="218" t="s">
        <v>4</v>
      </c>
      <c r="B9" s="331" t="s">
        <v>5</v>
      </c>
      <c r="C9" s="80" t="s">
        <v>89</v>
      </c>
      <c r="D9" s="75">
        <v>8</v>
      </c>
      <c r="E9" s="244" t="s">
        <v>451</v>
      </c>
    </row>
    <row r="10" spans="1:8" s="241" customFormat="1" ht="135" customHeight="1" x14ac:dyDescent="0.2">
      <c r="A10" s="218" t="s">
        <v>6</v>
      </c>
      <c r="B10" s="331" t="s">
        <v>7</v>
      </c>
      <c r="C10" s="244" t="s">
        <v>88</v>
      </c>
      <c r="D10" s="16">
        <v>0.7</v>
      </c>
      <c r="E10" s="244" t="s">
        <v>452</v>
      </c>
    </row>
    <row r="11" spans="1:8" s="167" customFormat="1" ht="350.1" customHeight="1" thickBot="1" x14ac:dyDescent="0.25">
      <c r="A11" s="218" t="s">
        <v>196</v>
      </c>
      <c r="B11" s="327" t="s">
        <v>197</v>
      </c>
      <c r="C11" s="244"/>
      <c r="D11" s="75">
        <v>3.5</v>
      </c>
      <c r="E11" s="332" t="s">
        <v>455</v>
      </c>
      <c r="F11" s="45"/>
    </row>
    <row r="12" spans="1:8" s="241" customFormat="1" ht="81.75" customHeight="1" thickTop="1" thickBot="1" x14ac:dyDescent="0.25">
      <c r="A12" s="349" t="s">
        <v>8</v>
      </c>
      <c r="B12" s="350" t="s">
        <v>9</v>
      </c>
      <c r="C12" s="351"/>
      <c r="D12" s="356">
        <f>(0.7*TSRS)/(1+RV)</f>
        <v>3.2941176470588234</v>
      </c>
      <c r="E12" s="351" t="s">
        <v>402</v>
      </c>
      <c r="G12" s="241" t="s">
        <v>43</v>
      </c>
    </row>
    <row r="13" spans="1:8" s="167" customFormat="1" ht="60" customHeight="1" thickTop="1" thickBot="1" x14ac:dyDescent="0.25">
      <c r="A13" s="349" t="s">
        <v>6</v>
      </c>
      <c r="B13" s="350" t="s">
        <v>7</v>
      </c>
      <c r="C13" s="351"/>
      <c r="D13" s="398">
        <f>TSBB/(TSRS-TSBB)</f>
        <v>0.7</v>
      </c>
      <c r="E13" s="351" t="s">
        <v>400</v>
      </c>
      <c r="F13" s="45"/>
    </row>
    <row r="14" spans="1:8" s="167" customFormat="1" ht="60" customHeight="1" thickTop="1" thickBot="1" x14ac:dyDescent="0.25">
      <c r="A14" s="154" t="s">
        <v>4</v>
      </c>
      <c r="B14" s="155" t="s">
        <v>5</v>
      </c>
      <c r="C14" s="175"/>
      <c r="D14" s="357">
        <f>TSBB*(1+RV)/RV</f>
        <v>8</v>
      </c>
      <c r="E14" s="351" t="s">
        <v>401</v>
      </c>
      <c r="F14" s="45"/>
    </row>
    <row r="15" spans="1:8" s="167" customFormat="1" ht="13.5" thickTop="1" x14ac:dyDescent="0.2">
      <c r="A15" s="56"/>
      <c r="B15" s="45"/>
      <c r="D15" s="45"/>
      <c r="E15" s="45"/>
      <c r="F15" s="45"/>
    </row>
    <row r="16" spans="1:8" s="167" customFormat="1" x14ac:dyDescent="0.2">
      <c r="A16" s="56"/>
      <c r="B16" s="45"/>
      <c r="D16" s="45"/>
      <c r="E16" s="45"/>
      <c r="F16" s="45"/>
    </row>
    <row r="17" spans="1:6" s="167" customFormat="1" x14ac:dyDescent="0.2">
      <c r="A17" s="56"/>
      <c r="B17" s="45"/>
      <c r="D17" s="45"/>
      <c r="E17" s="45"/>
      <c r="F17" s="45"/>
    </row>
    <row r="18" spans="1:6" s="167" customFormat="1" x14ac:dyDescent="0.2">
      <c r="A18" s="56"/>
      <c r="B18" s="45"/>
      <c r="D18" s="45"/>
      <c r="E18" s="45"/>
      <c r="F18" s="45"/>
    </row>
    <row r="19" spans="1:6" s="167" customFormat="1" x14ac:dyDescent="0.2">
      <c r="A19" s="56"/>
      <c r="B19" s="45"/>
      <c r="D19" s="45"/>
      <c r="E19" s="45"/>
      <c r="F19" s="45"/>
    </row>
    <row r="20" spans="1:6" s="167" customFormat="1" x14ac:dyDescent="0.2">
      <c r="A20" s="56"/>
      <c r="B20" s="45"/>
      <c r="D20" s="45"/>
      <c r="E20" s="45"/>
      <c r="F20" s="45"/>
    </row>
    <row r="21" spans="1:6" s="167" customFormat="1" x14ac:dyDescent="0.2">
      <c r="A21" s="56"/>
      <c r="B21" s="45"/>
      <c r="D21" s="45"/>
      <c r="E21" s="45"/>
      <c r="F21" s="45"/>
    </row>
    <row r="22" spans="1:6" s="167" customFormat="1" x14ac:dyDescent="0.2">
      <c r="A22" s="56"/>
      <c r="B22" s="45"/>
      <c r="D22" s="45"/>
      <c r="E22" s="45"/>
      <c r="F22" s="45"/>
    </row>
    <row r="23" spans="1:6" s="167" customFormat="1" x14ac:dyDescent="0.2">
      <c r="A23" s="56"/>
      <c r="B23" s="45"/>
      <c r="D23" s="45"/>
      <c r="E23" s="45"/>
      <c r="F23" s="45"/>
    </row>
  </sheetData>
  <mergeCells count="1">
    <mergeCell ref="A1:E1"/>
  </mergeCells>
  <pageMargins left="0.7" right="0.7" top="0.78740157499999996" bottom="0.78740157499999996" header="0.3" footer="0.3"/>
  <pageSetup paperSize="9" orientation="portrait" horizontalDpi="4294967293"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99"/>
  </sheetPr>
  <dimension ref="A1:F9"/>
  <sheetViews>
    <sheetView showGridLines="0" zoomScaleNormal="100" workbookViewId="0">
      <pane ySplit="2" topLeftCell="A3" activePane="bottomLeft" state="frozen"/>
      <selection activeCell="A2" sqref="A2:B3"/>
      <selection pane="bottomLeft" activeCell="A2" sqref="A2:B3"/>
    </sheetView>
  </sheetViews>
  <sheetFormatPr baseColWidth="10" defaultRowHeight="12.75" x14ac:dyDescent="0.2"/>
  <cols>
    <col min="1" max="1" width="32.28515625" style="56" customWidth="1"/>
    <col min="2" max="2" width="11.5703125" style="45" customWidth="1"/>
    <col min="3" max="3" width="76.7109375" style="167" customWidth="1"/>
    <col min="4" max="4" width="14.28515625" style="45" customWidth="1"/>
    <col min="5" max="5" width="76.140625" style="45" customWidth="1"/>
    <col min="6" max="6" width="14.5703125" style="45" hidden="1" customWidth="1"/>
    <col min="7" max="16384" width="11.42578125" style="167"/>
  </cols>
  <sheetData>
    <row r="1" spans="1:6" ht="60" customHeight="1" x14ac:dyDescent="0.2">
      <c r="A1" s="625" t="s">
        <v>396</v>
      </c>
      <c r="B1" s="626"/>
      <c r="C1" s="626"/>
      <c r="D1" s="626"/>
      <c r="E1" s="627"/>
    </row>
    <row r="2" spans="1:6" ht="39.950000000000003" customHeight="1" thickBot="1" x14ac:dyDescent="0.25">
      <c r="A2" s="245" t="s">
        <v>97</v>
      </c>
      <c r="B2" s="243" t="s">
        <v>96</v>
      </c>
      <c r="C2" s="245" t="s">
        <v>162</v>
      </c>
      <c r="D2" s="243" t="s">
        <v>160</v>
      </c>
      <c r="E2" s="218" t="s">
        <v>108</v>
      </c>
      <c r="F2" s="57"/>
    </row>
    <row r="3" spans="1:6" ht="80.099999999999994" customHeight="1" thickTop="1" thickBot="1" x14ac:dyDescent="0.25">
      <c r="A3" s="218" t="s">
        <v>232</v>
      </c>
      <c r="B3" s="14" t="s">
        <v>231</v>
      </c>
      <c r="C3" s="244"/>
      <c r="D3" s="295"/>
      <c r="E3" s="244" t="s">
        <v>399</v>
      </c>
      <c r="F3" s="106"/>
    </row>
    <row r="4" spans="1:6" ht="99.95" customHeight="1" thickTop="1" thickBot="1" x14ac:dyDescent="0.25">
      <c r="A4" s="218" t="s">
        <v>232</v>
      </c>
      <c r="B4" s="14" t="s">
        <v>231</v>
      </c>
      <c r="C4" s="244"/>
      <c r="D4" s="296"/>
      <c r="E4" s="244"/>
      <c r="F4" s="76"/>
    </row>
    <row r="5" spans="1:6" s="173" customFormat="1" ht="80.099999999999994" customHeight="1" thickTop="1" thickBot="1" x14ac:dyDescent="0.25">
      <c r="A5" s="234" t="s">
        <v>233</v>
      </c>
      <c r="B5" s="196" t="s">
        <v>234</v>
      </c>
      <c r="C5" s="232" t="s">
        <v>239</v>
      </c>
      <c r="D5" s="297"/>
      <c r="E5" s="244"/>
      <c r="F5" s="172"/>
    </row>
    <row r="6" spans="1:6" s="173" customFormat="1" ht="80.099999999999994" customHeight="1" thickTop="1" thickBot="1" x14ac:dyDescent="0.25">
      <c r="A6" s="234" t="s">
        <v>281</v>
      </c>
      <c r="B6" s="196" t="s">
        <v>282</v>
      </c>
      <c r="C6" s="232"/>
      <c r="D6" s="297"/>
      <c r="E6" s="247"/>
      <c r="F6" s="172"/>
    </row>
    <row r="7" spans="1:6" s="173" customFormat="1" ht="80.099999999999994" customHeight="1" thickTop="1" thickBot="1" x14ac:dyDescent="0.25">
      <c r="A7" s="197" t="s">
        <v>283</v>
      </c>
      <c r="B7" s="193" t="s">
        <v>284</v>
      </c>
      <c r="C7" s="192"/>
      <c r="D7" s="298"/>
      <c r="E7" s="198"/>
      <c r="F7" s="172"/>
    </row>
    <row r="8" spans="1:6" ht="120" customHeight="1" thickTop="1" thickBot="1" x14ac:dyDescent="0.25">
      <c r="A8" s="218" t="s">
        <v>238</v>
      </c>
      <c r="B8" s="14" t="s">
        <v>236</v>
      </c>
      <c r="C8" s="87" t="s">
        <v>237</v>
      </c>
      <c r="D8" s="299"/>
      <c r="E8" s="244"/>
      <c r="F8" s="106"/>
    </row>
    <row r="9" spans="1:6" ht="13.5" thickTop="1" x14ac:dyDescent="0.2">
      <c r="B9" s="107"/>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FFFF"/>
  </sheetPr>
  <dimension ref="A1:F9"/>
  <sheetViews>
    <sheetView showGridLines="0" zoomScaleNormal="100" workbookViewId="0">
      <pane ySplit="2" topLeftCell="A3" activePane="bottomLeft" state="frozen"/>
      <selection activeCell="A2" sqref="A2:B3"/>
      <selection pane="bottomLeft" activeCell="A2" sqref="A2:B3"/>
    </sheetView>
  </sheetViews>
  <sheetFormatPr baseColWidth="10" defaultRowHeight="12.75" x14ac:dyDescent="0.2"/>
  <cols>
    <col min="1" max="1" width="32.28515625" style="56" customWidth="1"/>
    <col min="2" max="2" width="11.5703125" style="45" customWidth="1"/>
    <col min="3" max="3" width="76.7109375" style="31" customWidth="1"/>
    <col min="4" max="4" width="14.28515625" style="45" customWidth="1"/>
    <col min="5" max="5" width="76.140625" style="45" customWidth="1"/>
    <col min="6" max="6" width="14.5703125" style="45" hidden="1" customWidth="1"/>
    <col min="7" max="16384" width="11.42578125" style="31"/>
  </cols>
  <sheetData>
    <row r="1" spans="1:6" s="167" customFormat="1" ht="60" customHeight="1" x14ac:dyDescent="0.2">
      <c r="A1" s="622" t="s">
        <v>396</v>
      </c>
      <c r="B1" s="623"/>
      <c r="C1" s="623"/>
      <c r="D1" s="623"/>
      <c r="E1" s="624"/>
      <c r="F1" s="45"/>
    </row>
    <row r="2" spans="1:6" ht="39.950000000000003" customHeight="1" thickBot="1" x14ac:dyDescent="0.25">
      <c r="A2" s="245" t="s">
        <v>97</v>
      </c>
      <c r="B2" s="331" t="s">
        <v>96</v>
      </c>
      <c r="C2" s="245" t="s">
        <v>162</v>
      </c>
      <c r="D2" s="331" t="s">
        <v>160</v>
      </c>
      <c r="E2" s="218" t="s">
        <v>108</v>
      </c>
      <c r="F2" s="57"/>
    </row>
    <row r="3" spans="1:6" ht="80.099999999999994" customHeight="1" thickTop="1" thickBot="1" x14ac:dyDescent="0.25">
      <c r="A3" s="218" t="s">
        <v>232</v>
      </c>
      <c r="B3" s="327" t="s">
        <v>231</v>
      </c>
      <c r="C3" s="244"/>
      <c r="D3" s="108">
        <f>ROUND(SNH4_N/SNO3_AN-1,1)</f>
        <v>7.9</v>
      </c>
      <c r="E3" s="244" t="s">
        <v>399</v>
      </c>
      <c r="F3" s="106"/>
    </row>
    <row r="4" spans="1:6" ht="99.95" customHeight="1" thickTop="1" thickBot="1" x14ac:dyDescent="0.25">
      <c r="A4" s="218" t="s">
        <v>232</v>
      </c>
      <c r="B4" s="327" t="s">
        <v>231</v>
      </c>
      <c r="C4" s="244"/>
      <c r="D4" s="109">
        <v>3</v>
      </c>
      <c r="E4" s="244" t="s">
        <v>240</v>
      </c>
      <c r="F4" s="76"/>
    </row>
    <row r="5" spans="1:6" s="173" customFormat="1" ht="80.099999999999994" customHeight="1" thickTop="1" thickBot="1" x14ac:dyDescent="0.25">
      <c r="A5" s="234" t="s">
        <v>233</v>
      </c>
      <c r="B5" s="196" t="s">
        <v>234</v>
      </c>
      <c r="C5" s="232" t="s">
        <v>239</v>
      </c>
      <c r="D5" s="195">
        <f>CTKN_ZB</f>
        <v>81.34615384615384</v>
      </c>
      <c r="E5" s="244" t="s">
        <v>362</v>
      </c>
      <c r="F5" s="172"/>
    </row>
    <row r="6" spans="1:6" s="173" customFormat="1" ht="80.099999999999994" customHeight="1" thickTop="1" thickBot="1" x14ac:dyDescent="0.25">
      <c r="A6" s="234" t="s">
        <v>281</v>
      </c>
      <c r="B6" s="196" t="s">
        <v>403</v>
      </c>
      <c r="C6" s="232"/>
      <c r="D6" s="195">
        <f>SNO3_AN</f>
        <v>9.1</v>
      </c>
      <c r="E6" s="365" t="s">
        <v>406</v>
      </c>
      <c r="F6" s="172"/>
    </row>
    <row r="7" spans="1:6" s="173" customFormat="1" ht="80.099999999999994" customHeight="1" thickTop="1" thickBot="1" x14ac:dyDescent="0.25">
      <c r="A7" s="326" t="s">
        <v>283</v>
      </c>
      <c r="B7" s="193" t="s">
        <v>284</v>
      </c>
      <c r="C7" s="192"/>
      <c r="D7" s="194">
        <f>1-(1/(1+RF))</f>
        <v>0.75</v>
      </c>
      <c r="E7" s="198" t="s">
        <v>285</v>
      </c>
      <c r="F7" s="172"/>
    </row>
    <row r="8" spans="1:6" ht="120" customHeight="1" thickTop="1" thickBot="1" x14ac:dyDescent="0.25">
      <c r="A8" s="218" t="s">
        <v>238</v>
      </c>
      <c r="B8" s="327" t="s">
        <v>236</v>
      </c>
      <c r="C8" s="87" t="s">
        <v>237</v>
      </c>
      <c r="D8" s="44">
        <f>ROUND((RF-RV)*Qt*3.6,-2)</f>
        <v>18000</v>
      </c>
      <c r="E8" s="244"/>
      <c r="F8" s="106"/>
    </row>
    <row r="9" spans="1:6" ht="13.5" thickTop="1" x14ac:dyDescent="0.2">
      <c r="B9" s="107"/>
      <c r="C9" s="167"/>
    </row>
  </sheetData>
  <mergeCells count="1">
    <mergeCell ref="A1:E1"/>
  </mergeCells>
  <hyperlinks>
    <hyperlink ref="E6" location="'3 N-Bilanz'!A1" display="siehe Registerblatt &quot;N-Bilanz&quot;" xr:uid="{00000000-0004-0000-1900-000000000000}"/>
  </hyperlinks>
  <pageMargins left="0.7" right="0.7" top="0.78740157499999996" bottom="0.78740157499999996"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99"/>
  </sheetPr>
  <dimension ref="A1:F21"/>
  <sheetViews>
    <sheetView workbookViewId="0">
      <pane xSplit="1" ySplit="2" topLeftCell="B3" activePane="bottomRight" state="frozen"/>
      <selection activeCell="A2" sqref="A2:B3"/>
      <selection pane="topRight" activeCell="A2" sqref="A2:B3"/>
      <selection pane="bottomLeft" activeCell="A2" sqref="A2:B3"/>
      <selection pane="bottomRight" activeCell="B1" sqref="B1:F1"/>
    </sheetView>
  </sheetViews>
  <sheetFormatPr baseColWidth="10" defaultRowHeight="12.75" x14ac:dyDescent="0.2"/>
  <cols>
    <col min="1" max="1" width="7.5703125" style="223" customWidth="1"/>
    <col min="2" max="2" width="39.140625" style="3" customWidth="1"/>
    <col min="3" max="3" width="11.42578125" style="10"/>
    <col min="4" max="4" width="85.7109375" style="241" customWidth="1"/>
    <col min="5" max="5" width="18.140625" style="10" bestFit="1" customWidth="1"/>
    <col min="6" max="6" width="80.42578125" style="241" customWidth="1"/>
    <col min="7" max="16384" width="11.42578125" style="241"/>
  </cols>
  <sheetData>
    <row r="1" spans="1:6" ht="60" customHeight="1" x14ac:dyDescent="0.2">
      <c r="B1" s="611" t="s">
        <v>376</v>
      </c>
      <c r="C1" s="611"/>
      <c r="D1" s="611"/>
      <c r="E1" s="611"/>
      <c r="F1" s="611"/>
    </row>
    <row r="2" spans="1:6" ht="39.950000000000003" customHeight="1" x14ac:dyDescent="0.2">
      <c r="B2" s="324" t="s">
        <v>97</v>
      </c>
      <c r="C2" s="325" t="s">
        <v>96</v>
      </c>
      <c r="D2" s="324" t="s">
        <v>162</v>
      </c>
      <c r="E2" s="325" t="s">
        <v>160</v>
      </c>
      <c r="F2" s="328" t="s">
        <v>108</v>
      </c>
    </row>
    <row r="3" spans="1:6" ht="67.5" customHeight="1" x14ac:dyDescent="0.2">
      <c r="A3" s="86" t="s">
        <v>78</v>
      </c>
      <c r="B3" s="245" t="s">
        <v>326</v>
      </c>
      <c r="C3" s="243" t="s">
        <v>24</v>
      </c>
      <c r="D3" s="244"/>
      <c r="E3" s="287"/>
      <c r="F3" s="112"/>
    </row>
    <row r="4" spans="1:6" ht="49.5" customHeight="1" thickBot="1" x14ac:dyDescent="0.25">
      <c r="A4" s="628" t="s">
        <v>79</v>
      </c>
      <c r="B4" s="180" t="s">
        <v>22</v>
      </c>
      <c r="C4" s="155" t="s">
        <v>24</v>
      </c>
      <c r="D4" s="175"/>
      <c r="E4" s="287"/>
      <c r="F4" s="238"/>
    </row>
    <row r="5" spans="1:6" ht="80.099999999999994" customHeight="1" thickTop="1" thickBot="1" x14ac:dyDescent="0.25">
      <c r="A5" s="628"/>
      <c r="B5" s="245" t="s">
        <v>243</v>
      </c>
      <c r="C5" s="245" t="s">
        <v>80</v>
      </c>
      <c r="D5" s="244"/>
      <c r="E5" s="249"/>
      <c r="F5" s="247"/>
    </row>
    <row r="6" spans="1:6" ht="80.099999999999994" customHeight="1" thickTop="1" thickBot="1" x14ac:dyDescent="0.25">
      <c r="A6" s="628"/>
      <c r="B6" s="245" t="s">
        <v>330</v>
      </c>
      <c r="C6" s="243" t="s">
        <v>54</v>
      </c>
      <c r="D6" s="244"/>
      <c r="E6" s="249"/>
      <c r="F6" s="247"/>
    </row>
    <row r="7" spans="1:6" ht="80.099999999999994" customHeight="1" thickTop="1" thickBot="1" x14ac:dyDescent="0.25">
      <c r="A7" s="628"/>
      <c r="B7" s="245" t="s">
        <v>329</v>
      </c>
      <c r="C7" s="243" t="s">
        <v>318</v>
      </c>
      <c r="D7" s="244"/>
      <c r="E7" s="249"/>
      <c r="F7" s="244" t="s">
        <v>319</v>
      </c>
    </row>
    <row r="8" spans="1:6" ht="80.099999999999994" customHeight="1" thickTop="1" thickBot="1" x14ac:dyDescent="0.25">
      <c r="A8" s="628"/>
      <c r="B8" s="245" t="s">
        <v>328</v>
      </c>
      <c r="C8" s="243" t="s">
        <v>55</v>
      </c>
      <c r="D8" s="244"/>
      <c r="E8" s="249"/>
      <c r="F8" s="247"/>
    </row>
    <row r="9" spans="1:6" ht="52.5" customHeight="1" thickTop="1" thickBot="1" x14ac:dyDescent="0.25">
      <c r="A9" s="86"/>
      <c r="B9" s="245" t="s">
        <v>327</v>
      </c>
      <c r="C9" s="243" t="s">
        <v>25</v>
      </c>
      <c r="D9" s="244"/>
      <c r="E9" s="288"/>
      <c r="F9" s="112"/>
    </row>
    <row r="10" spans="1:6" ht="39.950000000000003" customHeight="1" thickTop="1" thickBot="1" x14ac:dyDescent="0.25">
      <c r="A10" s="86"/>
      <c r="B10" s="245" t="s">
        <v>355</v>
      </c>
      <c r="C10" s="243" t="s">
        <v>15</v>
      </c>
      <c r="D10" s="244"/>
      <c r="E10" s="289"/>
      <c r="F10" s="242" t="s">
        <v>325</v>
      </c>
    </row>
    <row r="11" spans="1:6" ht="60" customHeight="1" thickTop="1" thickBot="1" x14ac:dyDescent="0.25">
      <c r="A11" s="86"/>
      <c r="B11" s="245" t="s">
        <v>81</v>
      </c>
      <c r="C11" s="243" t="s">
        <v>27</v>
      </c>
      <c r="D11" s="244"/>
      <c r="E11" s="249"/>
      <c r="F11" s="251"/>
    </row>
    <row r="12" spans="1:6" ht="39.950000000000003" customHeight="1" thickTop="1" thickBot="1" x14ac:dyDescent="0.25">
      <c r="B12" s="245" t="s">
        <v>320</v>
      </c>
      <c r="C12" s="243" t="s">
        <v>28</v>
      </c>
      <c r="D12" s="244"/>
      <c r="E12" s="289"/>
      <c r="F12" s="251"/>
    </row>
    <row r="13" spans="1:6" ht="70.5" customHeight="1" thickTop="1" thickBot="1" x14ac:dyDescent="0.25">
      <c r="B13" s="245" t="s">
        <v>23</v>
      </c>
      <c r="C13" s="243" t="s">
        <v>26</v>
      </c>
      <c r="D13" s="244"/>
      <c r="E13" s="290"/>
      <c r="F13" s="112"/>
    </row>
    <row r="14" spans="1:6" ht="50.25" customHeight="1" thickTop="1" thickBot="1" x14ac:dyDescent="0.25">
      <c r="B14" s="245" t="s">
        <v>82</v>
      </c>
      <c r="C14" s="243" t="s">
        <v>29</v>
      </c>
      <c r="D14" s="629"/>
      <c r="E14" s="291"/>
      <c r="F14" s="630" t="s">
        <v>332</v>
      </c>
    </row>
    <row r="15" spans="1:6" ht="50.25" customHeight="1" thickTop="1" thickBot="1" x14ac:dyDescent="0.25">
      <c r="B15" s="245" t="s">
        <v>331</v>
      </c>
      <c r="C15" s="243" t="s">
        <v>29</v>
      </c>
      <c r="D15" s="617"/>
      <c r="E15" s="292"/>
      <c r="F15" s="631"/>
    </row>
    <row r="16" spans="1:6" ht="99.95" customHeight="1" thickTop="1" x14ac:dyDescent="0.2">
      <c r="B16" s="245" t="s">
        <v>32</v>
      </c>
      <c r="C16" s="243" t="s">
        <v>30</v>
      </c>
      <c r="D16" s="617"/>
      <c r="E16" s="293"/>
      <c r="F16" s="244" t="s">
        <v>333</v>
      </c>
    </row>
    <row r="17" spans="1:6" ht="99.95" customHeight="1" thickBot="1" x14ac:dyDescent="0.25">
      <c r="B17" s="245" t="s">
        <v>33</v>
      </c>
      <c r="C17" s="243" t="s">
        <v>31</v>
      </c>
      <c r="D17" s="632"/>
      <c r="E17" s="293"/>
      <c r="F17" s="244" t="s">
        <v>334</v>
      </c>
    </row>
    <row r="18" spans="1:6" ht="81" customHeight="1" thickTop="1" thickBot="1" x14ac:dyDescent="0.25">
      <c r="A18" s="241"/>
      <c r="B18" s="245" t="s">
        <v>34</v>
      </c>
      <c r="C18" s="243" t="s">
        <v>35</v>
      </c>
      <c r="D18" s="244"/>
      <c r="E18" s="292"/>
      <c r="F18" s="113"/>
    </row>
    <row r="19" spans="1:6" ht="20.100000000000001" customHeight="1" thickTop="1" x14ac:dyDescent="0.2">
      <c r="B19" s="245" t="s">
        <v>56</v>
      </c>
      <c r="C19" s="243" t="s">
        <v>36</v>
      </c>
      <c r="D19" s="244"/>
      <c r="E19" s="294"/>
      <c r="F19" s="244"/>
    </row>
    <row r="20" spans="1:6" ht="39.950000000000003" customHeight="1" x14ac:dyDescent="0.2">
      <c r="B20" s="245" t="s">
        <v>57</v>
      </c>
      <c r="C20" s="243" t="s">
        <v>37</v>
      </c>
      <c r="D20" s="244"/>
      <c r="E20" s="294"/>
      <c r="F20" s="244" t="s">
        <v>335</v>
      </c>
    </row>
    <row r="21" spans="1:6" ht="60" customHeight="1" x14ac:dyDescent="0.2"/>
  </sheetData>
  <mergeCells count="5">
    <mergeCell ref="A4:A8"/>
    <mergeCell ref="D14:D15"/>
    <mergeCell ref="F14:F15"/>
    <mergeCell ref="D16:D17"/>
    <mergeCell ref="B1:F1"/>
  </mergeCells>
  <pageMargins left="0.7" right="0.7" top="0.78740157499999996" bottom="0.78740157499999996"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66FFFF"/>
  </sheetPr>
  <dimension ref="A1:O23"/>
  <sheetViews>
    <sheetView zoomScaleNormal="100" workbookViewId="0">
      <pane xSplit="1" ySplit="2" topLeftCell="D3" activePane="bottomRight" state="frozen"/>
      <selection activeCell="A2" sqref="A2:B3"/>
      <selection pane="topRight" activeCell="A2" sqref="A2:B3"/>
      <selection pane="bottomLeft" activeCell="A2" sqref="A2:B3"/>
      <selection pane="bottomRight" activeCell="E4" sqref="E4"/>
    </sheetView>
  </sheetViews>
  <sheetFormatPr baseColWidth="10" defaultRowHeight="12.75" x14ac:dyDescent="0.2"/>
  <cols>
    <col min="1" max="1" width="7.5703125" style="9" customWidth="1"/>
    <col min="2" max="2" width="39.140625" style="3" customWidth="1"/>
    <col min="3" max="3" width="11.42578125" style="10"/>
    <col min="4" max="4" width="85.7109375" style="2" customWidth="1"/>
    <col min="5" max="5" width="18.140625" style="10" bestFit="1" customWidth="1"/>
    <col min="6" max="6" width="80.7109375" style="2" customWidth="1"/>
    <col min="7" max="16384" width="11.42578125" style="2"/>
  </cols>
  <sheetData>
    <row r="1" spans="1:15" s="241" customFormat="1" ht="60" customHeight="1" x14ac:dyDescent="0.2">
      <c r="A1" s="539"/>
      <c r="B1" s="612" t="s">
        <v>376</v>
      </c>
      <c r="C1" s="612"/>
      <c r="D1" s="612"/>
      <c r="E1" s="612"/>
      <c r="F1" s="612"/>
    </row>
    <row r="2" spans="1:15" ht="39.950000000000003" customHeight="1" x14ac:dyDescent="0.2">
      <c r="A2" s="539"/>
      <c r="B2" s="245" t="s">
        <v>97</v>
      </c>
      <c r="C2" s="539" t="s">
        <v>96</v>
      </c>
      <c r="D2" s="245" t="s">
        <v>162</v>
      </c>
      <c r="E2" s="539" t="s">
        <v>160</v>
      </c>
      <c r="F2" s="538" t="s">
        <v>108</v>
      </c>
    </row>
    <row r="3" spans="1:15" ht="67.5" customHeight="1" x14ac:dyDescent="0.2">
      <c r="A3" s="541" t="s">
        <v>78</v>
      </c>
      <c r="B3" s="245" t="s">
        <v>326</v>
      </c>
      <c r="C3" s="539" t="s">
        <v>24</v>
      </c>
      <c r="D3" s="244"/>
      <c r="E3" s="114">
        <f>Bd_BSB_ZB*(0.56+(0.15*tTS*FT)/(1+0.17*tTS*FT))</f>
        <v>20027.734776316574</v>
      </c>
      <c r="F3" s="112"/>
    </row>
    <row r="4" spans="1:15" ht="49.5" customHeight="1" x14ac:dyDescent="0.2">
      <c r="A4" s="633" t="s">
        <v>79</v>
      </c>
      <c r="B4" s="180" t="s">
        <v>22</v>
      </c>
      <c r="C4" s="155" t="s">
        <v>24</v>
      </c>
      <c r="D4" s="175"/>
      <c r="E4" s="250">
        <f>Qd*(CCSB_ZB-SCSB_inert_AN-XCSB_ÜS)/1000</f>
        <v>23920</v>
      </c>
      <c r="F4" s="175" t="s">
        <v>588</v>
      </c>
    </row>
    <row r="5" spans="1:15" s="241" customFormat="1" ht="49.5" customHeight="1" x14ac:dyDescent="0.2">
      <c r="A5" s="633"/>
      <c r="B5" s="252" t="s">
        <v>590</v>
      </c>
      <c r="C5" s="246" t="s">
        <v>314</v>
      </c>
      <c r="D5" s="248"/>
      <c r="E5" s="540">
        <f>CCSB_ZB-SCSB_inert_AN-XCSB_ÜS</f>
        <v>460</v>
      </c>
      <c r="F5" s="248" t="s">
        <v>591</v>
      </c>
    </row>
    <row r="6" spans="1:15" s="241" customFormat="1" ht="49.5" customHeight="1" x14ac:dyDescent="0.2">
      <c r="A6" s="633"/>
      <c r="B6" s="252" t="s">
        <v>590</v>
      </c>
      <c r="C6" s="246" t="s">
        <v>589</v>
      </c>
      <c r="D6" s="248"/>
      <c r="E6" s="540">
        <f>CCSB_abb_ZB-XCSB_BM-XCSB_inert_BM</f>
        <v>460</v>
      </c>
      <c r="F6" s="248" t="s">
        <v>592</v>
      </c>
      <c r="K6"/>
    </row>
    <row r="7" spans="1:15" ht="80.099999999999994" customHeight="1" x14ac:dyDescent="0.2">
      <c r="A7" s="633"/>
      <c r="B7" s="245" t="s">
        <v>243</v>
      </c>
      <c r="C7" s="245" t="s">
        <v>80</v>
      </c>
      <c r="D7" s="244"/>
      <c r="E7" s="542">
        <f>ROUND(CCSB_ZB*0.05,0)</f>
        <v>37</v>
      </c>
      <c r="F7" s="247"/>
      <c r="O7"/>
    </row>
    <row r="8" spans="1:15" s="224" customFormat="1" ht="80.099999999999994" customHeight="1" x14ac:dyDescent="0.2">
      <c r="A8" s="633"/>
      <c r="B8" s="245" t="s">
        <v>330</v>
      </c>
      <c r="C8" s="539" t="s">
        <v>54</v>
      </c>
      <c r="D8" s="244"/>
      <c r="E8" s="540">
        <f>XCSB_inert_ZB+XCSB_BM+XCSB_inert_BM</f>
        <v>239</v>
      </c>
      <c r="F8" s="247"/>
    </row>
    <row r="9" spans="1:15" s="241" customFormat="1" ht="80.099999999999994" customHeight="1" x14ac:dyDescent="0.2">
      <c r="A9" s="633"/>
      <c r="B9" s="245" t="s">
        <v>329</v>
      </c>
      <c r="C9" s="539" t="s">
        <v>318</v>
      </c>
      <c r="D9" s="244"/>
      <c r="E9" s="540">
        <f>ROUND(CCSB_abb_ZB*0.67/(1+0.17*tTS*FT),0)</f>
        <v>87</v>
      </c>
      <c r="F9" s="244" t="s">
        <v>319</v>
      </c>
    </row>
    <row r="10" spans="1:15" s="241" customFormat="1" ht="80.099999999999994" customHeight="1" x14ac:dyDescent="0.2">
      <c r="A10" s="633"/>
      <c r="B10" s="245" t="s">
        <v>328</v>
      </c>
      <c r="C10" s="539" t="s">
        <v>55</v>
      </c>
      <c r="D10" s="244"/>
      <c r="E10" s="540">
        <f>ROUND(0.2*XCSB_BM*tTS*0.17*FT,0)</f>
        <v>64</v>
      </c>
      <c r="F10" s="247"/>
    </row>
    <row r="11" spans="1:15" ht="52.5" customHeight="1" x14ac:dyDescent="0.2">
      <c r="A11" s="541"/>
      <c r="B11" s="245" t="s">
        <v>327</v>
      </c>
      <c r="C11" s="539" t="s">
        <v>25</v>
      </c>
      <c r="D11" s="244"/>
      <c r="E11" s="114">
        <f>ROUND(Qd*4.3*(SNO3_D-SNO3_ZB+SNO3_AN)/1000,-2)</f>
        <v>12500</v>
      </c>
      <c r="F11" s="112"/>
    </row>
    <row r="12" spans="1:15" ht="39.950000000000003" customHeight="1" x14ac:dyDescent="0.2">
      <c r="A12" s="541"/>
      <c r="B12" s="245" t="s">
        <v>355</v>
      </c>
      <c r="C12" s="539" t="s">
        <v>15</v>
      </c>
      <c r="D12" s="244"/>
      <c r="E12" s="543">
        <f>SNO3_D</f>
        <v>46.8</v>
      </c>
      <c r="F12" s="247" t="s">
        <v>325</v>
      </c>
    </row>
    <row r="13" spans="1:15" ht="60" customHeight="1" x14ac:dyDescent="0.2">
      <c r="A13" s="541"/>
      <c r="B13" s="245" t="s">
        <v>81</v>
      </c>
      <c r="C13" s="539" t="s">
        <v>27</v>
      </c>
      <c r="D13" s="244"/>
      <c r="E13" s="540">
        <f>Bd_NO3_Z*1000/Qd</f>
        <v>0</v>
      </c>
      <c r="F13" s="251"/>
    </row>
    <row r="14" spans="1:15" ht="39.950000000000003" customHeight="1" x14ac:dyDescent="0.2">
      <c r="A14" s="539"/>
      <c r="B14" s="245" t="s">
        <v>320</v>
      </c>
      <c r="C14" s="539" t="s">
        <v>28</v>
      </c>
      <c r="D14" s="244"/>
      <c r="E14" s="543">
        <v>4</v>
      </c>
      <c r="F14" s="251"/>
    </row>
    <row r="15" spans="1:15" ht="70.5" customHeight="1" x14ac:dyDescent="0.2">
      <c r="A15" s="539"/>
      <c r="B15" s="245" t="s">
        <v>23</v>
      </c>
      <c r="C15" s="539" t="s">
        <v>26</v>
      </c>
      <c r="D15" s="244"/>
      <c r="E15" s="544">
        <f>ROUND(Qd*2.9*SNO3_D/1000,0)</f>
        <v>7057</v>
      </c>
      <c r="F15" s="112"/>
    </row>
    <row r="16" spans="1:15" ht="50.25" customHeight="1" x14ac:dyDescent="0.2">
      <c r="A16" s="539"/>
      <c r="B16" s="245" t="s">
        <v>82</v>
      </c>
      <c r="C16" s="539" t="s">
        <v>29</v>
      </c>
      <c r="D16" s="617"/>
      <c r="E16" s="545">
        <f>ROUND(((OVd_C-OVd_D)+fN*OVd_N)/24,0)</f>
        <v>1484</v>
      </c>
      <c r="F16" s="634" t="s">
        <v>332</v>
      </c>
    </row>
    <row r="17" spans="1:6" ht="50.25" customHeight="1" x14ac:dyDescent="0.2">
      <c r="A17" s="539"/>
      <c r="B17" s="245" t="s">
        <v>331</v>
      </c>
      <c r="C17" s="539" t="s">
        <v>29</v>
      </c>
      <c r="D17" s="617"/>
      <c r="E17" s="546">
        <f>(fC*(OVd_C-OVd_D)+OVd_N)/24</f>
        <v>1328.8520833333332</v>
      </c>
      <c r="F17" s="634"/>
    </row>
    <row r="18" spans="1:6" ht="99.95" customHeight="1" x14ac:dyDescent="0.2">
      <c r="A18" s="539"/>
      <c r="B18" s="245" t="s">
        <v>32</v>
      </c>
      <c r="C18" s="539" t="s">
        <v>30</v>
      </c>
      <c r="D18" s="617"/>
      <c r="E18" s="16">
        <v>1.1499999999999999</v>
      </c>
      <c r="F18" s="244" t="s">
        <v>468</v>
      </c>
    </row>
    <row r="19" spans="1:6" ht="99.95" customHeight="1" x14ac:dyDescent="0.2">
      <c r="A19" s="539"/>
      <c r="B19" s="245" t="s">
        <v>33</v>
      </c>
      <c r="C19" s="539" t="s">
        <v>31</v>
      </c>
      <c r="D19" s="617"/>
      <c r="E19" s="16">
        <v>1.5</v>
      </c>
      <c r="F19" s="244" t="s">
        <v>467</v>
      </c>
    </row>
    <row r="20" spans="1:6" ht="81" customHeight="1" x14ac:dyDescent="0.2">
      <c r="A20" s="244"/>
      <c r="B20" s="245" t="s">
        <v>34</v>
      </c>
      <c r="C20" s="539" t="s">
        <v>35</v>
      </c>
      <c r="D20" s="244"/>
      <c r="E20" s="547">
        <f>CS*OVh/(CS-Cx)</f>
        <v>1920.4705882352939</v>
      </c>
      <c r="F20" s="113"/>
    </row>
    <row r="21" spans="1:6" ht="20.100000000000001" customHeight="1" x14ac:dyDescent="0.2">
      <c r="A21" s="539"/>
      <c r="B21" s="245" t="s">
        <v>56</v>
      </c>
      <c r="C21" s="539" t="s">
        <v>409</v>
      </c>
      <c r="D21" s="244"/>
      <c r="E21" s="548">
        <v>8.8000000000000007</v>
      </c>
      <c r="F21" s="244" t="s">
        <v>407</v>
      </c>
    </row>
    <row r="22" spans="1:6" ht="39.950000000000003" customHeight="1" x14ac:dyDescent="0.2">
      <c r="A22" s="539"/>
      <c r="B22" s="245" t="s">
        <v>57</v>
      </c>
      <c r="C22" s="539" t="s">
        <v>410</v>
      </c>
      <c r="D22" s="244"/>
      <c r="E22" s="548">
        <v>2</v>
      </c>
      <c r="F22" s="244" t="s">
        <v>408</v>
      </c>
    </row>
    <row r="23" spans="1:6" ht="60" customHeight="1" x14ac:dyDescent="0.2">
      <c r="A23" s="539"/>
      <c r="B23" s="245" t="s">
        <v>594</v>
      </c>
      <c r="C23" s="539" t="s">
        <v>593</v>
      </c>
      <c r="D23" s="244"/>
      <c r="E23" s="549">
        <f>ROUND(erf_alpha_OC/0.3/0.33/0.7,-3)</f>
        <v>28000</v>
      </c>
      <c r="F23" s="244"/>
    </row>
  </sheetData>
  <mergeCells count="5">
    <mergeCell ref="D16:D17"/>
    <mergeCell ref="D18:D19"/>
    <mergeCell ref="A4:A10"/>
    <mergeCell ref="F16:F17"/>
    <mergeCell ref="B1:F1"/>
  </mergeCells>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B1:G18"/>
  <sheetViews>
    <sheetView showGridLines="0" workbookViewId="0"/>
  </sheetViews>
  <sheetFormatPr baseColWidth="10" defaultRowHeight="15" x14ac:dyDescent="0.2"/>
  <cols>
    <col min="1" max="1" width="38.28515625" style="49" bestFit="1" customWidth="1"/>
    <col min="2" max="2" width="94.28515625" style="49" bestFit="1" customWidth="1"/>
    <col min="3" max="16384" width="11.42578125" style="49"/>
  </cols>
  <sheetData>
    <row r="1" spans="2:7" ht="18" x14ac:dyDescent="0.25">
      <c r="B1" s="261" t="s">
        <v>460</v>
      </c>
    </row>
    <row r="11" spans="2:7" x14ac:dyDescent="0.2">
      <c r="B11" s="360"/>
      <c r="C11" s="359"/>
      <c r="D11" s="362"/>
      <c r="E11" s="362"/>
      <c r="F11" s="363"/>
    </row>
    <row r="12" spans="2:7" x14ac:dyDescent="0.2">
      <c r="B12" s="361"/>
      <c r="C12" s="358"/>
      <c r="D12" s="359"/>
      <c r="E12" s="358"/>
      <c r="F12" s="358"/>
      <c r="G12" s="358"/>
    </row>
    <row r="13" spans="2:7" x14ac:dyDescent="0.2">
      <c r="B13" s="361"/>
      <c r="C13" s="358"/>
      <c r="D13" s="359"/>
      <c r="E13" s="358"/>
      <c r="F13" s="358"/>
      <c r="G13" s="358"/>
    </row>
    <row r="14" spans="2:7" x14ac:dyDescent="0.2">
      <c r="B14" s="361"/>
      <c r="C14" s="358"/>
      <c r="D14" s="359"/>
      <c r="E14" s="358"/>
      <c r="F14" s="358"/>
      <c r="G14" s="358"/>
    </row>
    <row r="15" spans="2:7" x14ac:dyDescent="0.2">
      <c r="B15" s="361"/>
      <c r="C15" s="358"/>
      <c r="D15" s="359"/>
      <c r="E15" s="358"/>
      <c r="F15" s="358"/>
      <c r="G15" s="358"/>
    </row>
    <row r="16" spans="2:7" x14ac:dyDescent="0.2">
      <c r="C16" s="358"/>
      <c r="E16" s="358"/>
      <c r="F16" s="358"/>
    </row>
    <row r="17" spans="3:3" x14ac:dyDescent="0.2">
      <c r="C17" s="358"/>
    </row>
    <row r="18" spans="3:3" x14ac:dyDescent="0.2">
      <c r="C18" s="358"/>
    </row>
  </sheetData>
  <pageMargins left="0.7" right="0.7" top="0.78740157499999996" bottom="0.78740157499999996"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99"/>
  </sheetPr>
  <dimension ref="A1:E9"/>
  <sheetViews>
    <sheetView workbookViewId="0">
      <pane ySplit="2" topLeftCell="A3" activePane="bottomLeft" state="frozen"/>
      <selection activeCell="A2" sqref="A2:B3"/>
      <selection pane="bottomLeft" activeCell="A2" sqref="A2:B3"/>
    </sheetView>
  </sheetViews>
  <sheetFormatPr baseColWidth="10" defaultRowHeight="12.75" x14ac:dyDescent="0.2"/>
  <cols>
    <col min="1" max="1" width="30.7109375" style="72" customWidth="1"/>
    <col min="2" max="2" width="12.7109375" style="63" customWidth="1"/>
    <col min="3" max="3" width="80.7109375" style="242" customWidth="1"/>
    <col min="4" max="4" width="12.7109375" style="275" customWidth="1"/>
    <col min="5" max="5" width="60.7109375" style="242" customWidth="1"/>
    <col min="6" max="16384" width="11.42578125" style="242"/>
  </cols>
  <sheetData>
    <row r="1" spans="1:5" ht="60" customHeight="1" x14ac:dyDescent="0.2">
      <c r="A1" s="611" t="s">
        <v>375</v>
      </c>
      <c r="B1" s="611"/>
      <c r="C1" s="611"/>
      <c r="D1" s="611"/>
      <c r="E1" s="611"/>
    </row>
    <row r="2" spans="1:5" ht="60" customHeight="1" x14ac:dyDescent="0.2">
      <c r="A2" s="328" t="s">
        <v>97</v>
      </c>
      <c r="B2" s="325" t="s">
        <v>96</v>
      </c>
      <c r="C2" s="324" t="s">
        <v>162</v>
      </c>
      <c r="D2" s="325" t="s">
        <v>160</v>
      </c>
      <c r="E2" s="328" t="s">
        <v>108</v>
      </c>
    </row>
    <row r="3" spans="1:5" ht="87.75" customHeight="1" x14ac:dyDescent="0.35">
      <c r="A3" s="218" t="s">
        <v>361</v>
      </c>
      <c r="B3" s="265" t="s">
        <v>38</v>
      </c>
      <c r="C3" s="276" t="s">
        <v>369</v>
      </c>
      <c r="D3" s="283"/>
      <c r="E3" s="244"/>
    </row>
    <row r="4" spans="1:5" ht="39.950000000000003" customHeight="1" x14ac:dyDescent="0.2">
      <c r="A4" s="218" t="s">
        <v>361</v>
      </c>
      <c r="B4" s="265" t="s">
        <v>39</v>
      </c>
      <c r="C4" s="247"/>
      <c r="D4" s="284"/>
      <c r="E4" s="247"/>
    </row>
    <row r="5" spans="1:5" ht="60" customHeight="1" x14ac:dyDescent="0.2">
      <c r="A5" s="218" t="s">
        <v>363</v>
      </c>
      <c r="B5" s="265" t="s">
        <v>40</v>
      </c>
      <c r="C5" s="277"/>
      <c r="D5" s="285"/>
      <c r="E5" s="244"/>
    </row>
    <row r="6" spans="1:5" ht="39.950000000000003" customHeight="1" x14ac:dyDescent="0.2">
      <c r="A6" s="218" t="s">
        <v>366</v>
      </c>
      <c r="B6" s="265" t="s">
        <v>367</v>
      </c>
      <c r="C6" s="277"/>
      <c r="D6" s="286"/>
      <c r="E6" s="244"/>
    </row>
    <row r="7" spans="1:5" ht="39.950000000000003" customHeight="1" x14ac:dyDescent="0.2">
      <c r="A7" s="245" t="s">
        <v>175</v>
      </c>
      <c r="B7" s="243" t="s">
        <v>27</v>
      </c>
      <c r="C7" s="277"/>
      <c r="D7" s="286"/>
      <c r="E7" s="247"/>
    </row>
    <row r="8" spans="1:5" ht="39.950000000000003" customHeight="1" x14ac:dyDescent="0.2">
      <c r="A8" s="245" t="s">
        <v>368</v>
      </c>
      <c r="B8" s="243" t="s">
        <v>28</v>
      </c>
      <c r="C8" s="247"/>
      <c r="D8" s="286"/>
      <c r="E8" s="247"/>
    </row>
    <row r="9" spans="1:5" ht="60" customHeight="1" x14ac:dyDescent="0.2">
      <c r="A9" s="218" t="s">
        <v>370</v>
      </c>
      <c r="B9" s="265" t="s">
        <v>371</v>
      </c>
      <c r="C9" s="247"/>
      <c r="D9" s="285"/>
      <c r="E9" s="280"/>
    </row>
  </sheetData>
  <mergeCells count="1">
    <mergeCell ref="A1:E1"/>
  </mergeCell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FF"/>
  </sheetPr>
  <dimension ref="A1:E9"/>
  <sheetViews>
    <sheetView zoomScaleNormal="100" workbookViewId="0">
      <pane ySplit="2" topLeftCell="A3" activePane="bottomLeft" state="frozen"/>
      <selection activeCell="A2" sqref="A2:B3"/>
      <selection pane="bottomLeft" activeCell="A2" sqref="A2:B3"/>
    </sheetView>
  </sheetViews>
  <sheetFormatPr baseColWidth="10" defaultRowHeight="12.75" x14ac:dyDescent="0.2"/>
  <cols>
    <col min="1" max="1" width="30.7109375" style="72" customWidth="1"/>
    <col min="2" max="2" width="12.7109375" style="1" customWidth="1"/>
    <col min="3" max="3" width="80.7109375" style="5" customWidth="1"/>
    <col min="4" max="4" width="12.7109375" style="275" customWidth="1"/>
    <col min="5" max="5" width="60.7109375" style="5" customWidth="1"/>
    <col min="6" max="16384" width="11.42578125" style="5"/>
  </cols>
  <sheetData>
    <row r="1" spans="1:5" s="242" customFormat="1" ht="60" customHeight="1" x14ac:dyDescent="0.2">
      <c r="A1" s="614" t="s">
        <v>375</v>
      </c>
      <c r="B1" s="614"/>
      <c r="C1" s="614"/>
      <c r="D1" s="614"/>
      <c r="E1" s="614"/>
    </row>
    <row r="2" spans="1:5" ht="60" customHeight="1" x14ac:dyDescent="0.2">
      <c r="A2" s="328" t="s">
        <v>97</v>
      </c>
      <c r="B2" s="325" t="s">
        <v>96</v>
      </c>
      <c r="C2" s="324" t="s">
        <v>162</v>
      </c>
      <c r="D2" s="325" t="s">
        <v>160</v>
      </c>
      <c r="E2" s="328" t="s">
        <v>108</v>
      </c>
    </row>
    <row r="3" spans="1:5" ht="87.75" customHeight="1" x14ac:dyDescent="0.35">
      <c r="A3" s="218" t="s">
        <v>361</v>
      </c>
      <c r="B3" s="265" t="s">
        <v>38</v>
      </c>
      <c r="C3" s="276" t="s">
        <v>369</v>
      </c>
      <c r="D3" s="282">
        <f>SKS_AB-(0.07*(SNH4_ZB-SNH4_AN+SNO3_AN-SNO3_ZB)+0.06*SFe_3)</f>
        <v>3.6179999999999994</v>
      </c>
      <c r="E3" s="244" t="s">
        <v>372</v>
      </c>
    </row>
    <row r="4" spans="1:5" ht="39.950000000000003" customHeight="1" x14ac:dyDescent="0.2">
      <c r="A4" s="218" t="s">
        <v>361</v>
      </c>
      <c r="B4" s="265" t="s">
        <v>39</v>
      </c>
      <c r="C4" s="247"/>
      <c r="D4" s="281">
        <v>8</v>
      </c>
      <c r="E4" s="247" t="s">
        <v>364</v>
      </c>
    </row>
    <row r="5" spans="1:5" ht="60" customHeight="1" x14ac:dyDescent="0.2">
      <c r="A5" s="218" t="s">
        <v>363</v>
      </c>
      <c r="B5" s="265" t="s">
        <v>40</v>
      </c>
      <c r="C5" s="277"/>
      <c r="D5" s="278">
        <f>ROUND(0.66*Bd_TKN_ZB*1000/Qd,1)</f>
        <v>53.7</v>
      </c>
      <c r="E5" s="244" t="s">
        <v>365</v>
      </c>
    </row>
    <row r="6" spans="1:5" s="242" customFormat="1" ht="39.950000000000003" customHeight="1" x14ac:dyDescent="0.2">
      <c r="A6" s="218" t="s">
        <v>366</v>
      </c>
      <c r="B6" s="265" t="s">
        <v>367</v>
      </c>
      <c r="C6" s="277"/>
      <c r="D6" s="279">
        <f>SNH4_AN</f>
        <v>0.2</v>
      </c>
      <c r="E6" s="244"/>
    </row>
    <row r="7" spans="1:5" ht="39.950000000000003" customHeight="1" x14ac:dyDescent="0.2">
      <c r="A7" s="245" t="s">
        <v>175</v>
      </c>
      <c r="B7" s="243" t="s">
        <v>27</v>
      </c>
      <c r="C7" s="277"/>
      <c r="D7" s="279">
        <f>SNO3_ZB</f>
        <v>0</v>
      </c>
      <c r="E7" s="247"/>
    </row>
    <row r="8" spans="1:5" ht="39.950000000000003" customHeight="1" x14ac:dyDescent="0.2">
      <c r="A8" s="245" t="s">
        <v>368</v>
      </c>
      <c r="B8" s="243" t="s">
        <v>28</v>
      </c>
      <c r="C8" s="247"/>
      <c r="D8" s="279">
        <f>SNO3_AN</f>
        <v>9.1</v>
      </c>
      <c r="E8" s="247"/>
    </row>
    <row r="9" spans="1:5" ht="60" customHeight="1" x14ac:dyDescent="0.2">
      <c r="A9" s="218" t="s">
        <v>370</v>
      </c>
      <c r="B9" s="265" t="s">
        <v>371</v>
      </c>
      <c r="C9" s="247"/>
      <c r="D9" s="278">
        <f>XP_Fäll*1.5</f>
        <v>0</v>
      </c>
      <c r="E9" s="280" t="s">
        <v>373</v>
      </c>
    </row>
  </sheetData>
  <mergeCells count="1">
    <mergeCell ref="A1:E1"/>
  </mergeCells>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CC"/>
  </sheetPr>
  <dimension ref="A1:G6"/>
  <sheetViews>
    <sheetView workbookViewId="0">
      <pane ySplit="2" topLeftCell="A3" activePane="bottomLeft" state="frozen"/>
      <selection activeCell="A2" sqref="A2:B3"/>
      <selection pane="bottomLeft" activeCell="A2" sqref="A2:B3"/>
    </sheetView>
  </sheetViews>
  <sheetFormatPr baseColWidth="10" defaultRowHeight="12.75" x14ac:dyDescent="0.2"/>
  <cols>
    <col min="1" max="1" width="31.85546875" style="72" customWidth="1"/>
    <col min="2" max="2" width="13.28515625" style="223" customWidth="1"/>
    <col min="3" max="3" width="76.7109375" style="241" customWidth="1"/>
    <col min="4" max="4" width="14.28515625" style="241" customWidth="1"/>
    <col min="5" max="5" width="78.7109375" style="241" customWidth="1"/>
    <col min="6" max="6" width="14.85546875" style="241" bestFit="1" customWidth="1"/>
    <col min="7" max="7" width="14.140625" style="241" bestFit="1" customWidth="1"/>
    <col min="8" max="8" width="11.7109375" style="241" bestFit="1" customWidth="1"/>
    <col min="9" max="12" width="11.42578125" style="241"/>
    <col min="13" max="13" width="19.140625" style="241" bestFit="1" customWidth="1"/>
    <col min="14" max="14" width="13.28515625" style="241" bestFit="1" customWidth="1"/>
    <col min="15" max="16384" width="11.42578125" style="241"/>
  </cols>
  <sheetData>
    <row r="1" spans="1:7" ht="60" customHeight="1" x14ac:dyDescent="0.2">
      <c r="A1" s="625" t="s">
        <v>397</v>
      </c>
      <c r="B1" s="626"/>
      <c r="C1" s="626"/>
      <c r="D1" s="626"/>
      <c r="E1" s="627"/>
    </row>
    <row r="2" spans="1:7" ht="39.950000000000003" customHeight="1" thickBot="1" x14ac:dyDescent="0.25">
      <c r="A2" s="245" t="s">
        <v>97</v>
      </c>
      <c r="B2" s="243" t="s">
        <v>96</v>
      </c>
      <c r="C2" s="245" t="s">
        <v>162</v>
      </c>
      <c r="D2" s="243" t="s">
        <v>160</v>
      </c>
      <c r="E2" s="218" t="s">
        <v>108</v>
      </c>
    </row>
    <row r="3" spans="1:7" ht="80.099999999999994" customHeight="1" thickTop="1" thickBot="1" x14ac:dyDescent="0.25">
      <c r="A3" s="218" t="s">
        <v>206</v>
      </c>
      <c r="B3" s="243" t="s">
        <v>44</v>
      </c>
      <c r="C3" s="77"/>
      <c r="D3" s="301"/>
      <c r="E3" s="244" t="s">
        <v>204</v>
      </c>
      <c r="F3" s="244"/>
      <c r="G3" s="244"/>
    </row>
    <row r="4" spans="1:7" ht="150" customHeight="1" thickTop="1" thickBot="1" x14ac:dyDescent="0.25">
      <c r="A4" s="218" t="s">
        <v>205</v>
      </c>
      <c r="B4" s="243" t="s">
        <v>202</v>
      </c>
      <c r="C4" s="77"/>
      <c r="D4" s="302"/>
      <c r="E4" s="244" t="s">
        <v>203</v>
      </c>
      <c r="F4" s="244"/>
      <c r="G4" s="244"/>
    </row>
    <row r="5" spans="1:7" ht="20.100000000000001" customHeight="1" thickTop="1" thickBot="1" x14ac:dyDescent="0.25">
      <c r="A5" s="218" t="s">
        <v>45</v>
      </c>
      <c r="B5" s="243" t="s">
        <v>46</v>
      </c>
      <c r="C5" s="23" t="s">
        <v>90</v>
      </c>
      <c r="D5" s="303"/>
      <c r="E5" s="244"/>
      <c r="F5" s="244"/>
      <c r="G5" s="244"/>
    </row>
    <row r="6" spans="1:7" ht="80.099999999999994" customHeight="1" thickTop="1" thickBot="1" x14ac:dyDescent="0.25">
      <c r="A6" s="218" t="s">
        <v>256</v>
      </c>
      <c r="B6" s="243" t="s">
        <v>257</v>
      </c>
      <c r="C6" s="244"/>
      <c r="D6" s="304"/>
      <c r="E6" s="244"/>
      <c r="F6" s="244"/>
      <c r="G6" s="244"/>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66FFFF"/>
  </sheetPr>
  <dimension ref="A1:G6"/>
  <sheetViews>
    <sheetView workbookViewId="0">
      <pane ySplit="2" topLeftCell="A3" activePane="bottomLeft" state="frozen"/>
      <selection activeCell="A2" sqref="A2:B3"/>
      <selection pane="bottomLeft" activeCell="C17" sqref="C17"/>
    </sheetView>
  </sheetViews>
  <sheetFormatPr baseColWidth="10" defaultRowHeight="12.75" x14ac:dyDescent="0.2"/>
  <cols>
    <col min="1" max="1" width="31.85546875" style="72" customWidth="1"/>
    <col min="2" max="2" width="13.28515625" style="73" customWidth="1"/>
    <col min="3" max="3" width="76.7109375" style="2" customWidth="1"/>
    <col min="4" max="4" width="14.28515625" style="2" customWidth="1"/>
    <col min="5" max="5" width="78.7109375" style="2" customWidth="1"/>
    <col min="6" max="6" width="14.85546875" style="2" bestFit="1" customWidth="1"/>
    <col min="7" max="7" width="14.140625" style="2" bestFit="1" customWidth="1"/>
    <col min="8" max="8" width="11.7109375" style="2" bestFit="1" customWidth="1"/>
    <col min="9" max="12" width="11.42578125" style="2"/>
    <col min="13" max="13" width="19.140625" style="2" bestFit="1" customWidth="1"/>
    <col min="14" max="14" width="13.28515625" style="2" bestFit="1" customWidth="1"/>
    <col min="15" max="16384" width="11.42578125" style="2"/>
  </cols>
  <sheetData>
    <row r="1" spans="1:7" s="241" customFormat="1" ht="60" customHeight="1" x14ac:dyDescent="0.2">
      <c r="A1" s="625" t="s">
        <v>397</v>
      </c>
      <c r="B1" s="626"/>
      <c r="C1" s="626"/>
      <c r="D1" s="626"/>
      <c r="E1" s="627"/>
    </row>
    <row r="2" spans="1:7" ht="39.950000000000003" customHeight="1" thickBot="1" x14ac:dyDescent="0.25">
      <c r="A2" s="15" t="s">
        <v>97</v>
      </c>
      <c r="B2" s="7" t="s">
        <v>96</v>
      </c>
      <c r="C2" s="15" t="s">
        <v>162</v>
      </c>
      <c r="D2" s="7" t="s">
        <v>160</v>
      </c>
      <c r="E2" s="13" t="s">
        <v>108</v>
      </c>
    </row>
    <row r="3" spans="1:7" ht="80.099999999999994" customHeight="1" x14ac:dyDescent="0.2">
      <c r="A3" s="13" t="s">
        <v>206</v>
      </c>
      <c r="B3" s="7" t="s">
        <v>44</v>
      </c>
      <c r="C3" s="77"/>
      <c r="D3" s="550">
        <f>ROUND(qSV/VSV,2)</f>
        <v>1.37</v>
      </c>
      <c r="E3" s="8" t="s">
        <v>204</v>
      </c>
      <c r="F3" s="8"/>
      <c r="G3" s="8"/>
    </row>
    <row r="4" spans="1:7" ht="150" customHeight="1" x14ac:dyDescent="0.2">
      <c r="A4" s="13" t="s">
        <v>205</v>
      </c>
      <c r="B4" s="7" t="s">
        <v>202</v>
      </c>
      <c r="C4" s="77"/>
      <c r="D4" s="81">
        <v>450</v>
      </c>
      <c r="E4" s="8" t="s">
        <v>203</v>
      </c>
      <c r="F4" s="8"/>
      <c r="G4" s="8"/>
    </row>
    <row r="5" spans="1:7" ht="20.100000000000001" customHeight="1" thickTop="1" thickBot="1" x14ac:dyDescent="0.25">
      <c r="A5" s="13" t="s">
        <v>45</v>
      </c>
      <c r="B5" s="7" t="s">
        <v>46</v>
      </c>
      <c r="C5" s="23" t="s">
        <v>90</v>
      </c>
      <c r="D5" s="82">
        <f>TSBB*ISV</f>
        <v>329.41176470588232</v>
      </c>
      <c r="E5" s="8"/>
      <c r="F5" s="8"/>
      <c r="G5" s="8"/>
    </row>
    <row r="6" spans="1:7" ht="80.099999999999994" customHeight="1" thickTop="1" thickBot="1" x14ac:dyDescent="0.25">
      <c r="A6" s="133" t="s">
        <v>256</v>
      </c>
      <c r="B6" s="131" t="s">
        <v>257</v>
      </c>
      <c r="C6" s="132"/>
      <c r="D6" s="134">
        <f>ROUND(Qm/qA,-1)</f>
        <v>4750</v>
      </c>
      <c r="E6" s="132"/>
      <c r="F6" s="132"/>
      <c r="G6" s="132"/>
    </row>
  </sheetData>
  <mergeCells count="1">
    <mergeCell ref="A1:E1"/>
  </mergeCells>
  <pageMargins left="0.7" right="0.7" top="0.78740157499999996" bottom="0.78740157499999996" header="0.3" footer="0.3"/>
  <pageSetup paperSize="9"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99"/>
  </sheetPr>
  <dimension ref="A1:E11"/>
  <sheetViews>
    <sheetView workbookViewId="0">
      <pane ySplit="2" topLeftCell="A4" activePane="bottomLeft" state="frozen"/>
      <selection activeCell="A2" sqref="A2:B3"/>
      <selection pane="bottomLeft" activeCell="A2" sqref="A2:B3"/>
    </sheetView>
  </sheetViews>
  <sheetFormatPr baseColWidth="10" defaultRowHeight="12.75" x14ac:dyDescent="0.2"/>
  <cols>
    <col min="1" max="1" width="31.85546875" style="72" customWidth="1"/>
    <col min="2" max="2" width="13.28515625" style="223" customWidth="1"/>
    <col min="3" max="3" width="82.28515625" style="241" customWidth="1"/>
    <col min="4" max="4" width="14.28515625" style="241" customWidth="1"/>
    <col min="5" max="5" width="78.7109375" style="241" customWidth="1"/>
    <col min="6" max="6" width="11.7109375" style="241" bestFit="1" customWidth="1"/>
    <col min="7" max="10" width="11.42578125" style="241"/>
    <col min="11" max="11" width="19.140625" style="241" bestFit="1" customWidth="1"/>
    <col min="12" max="12" width="13.28515625" style="241" bestFit="1" customWidth="1"/>
    <col min="13" max="16384" width="11.42578125" style="241"/>
  </cols>
  <sheetData>
    <row r="1" spans="1:5" ht="60" customHeight="1" x14ac:dyDescent="0.2">
      <c r="A1" s="625" t="s">
        <v>398</v>
      </c>
      <c r="B1" s="626"/>
      <c r="C1" s="626"/>
      <c r="D1" s="626"/>
      <c r="E1" s="627"/>
    </row>
    <row r="2" spans="1:5" ht="39.950000000000003" customHeight="1" x14ac:dyDescent="0.2">
      <c r="A2" s="324" t="s">
        <v>97</v>
      </c>
      <c r="B2" s="325" t="s">
        <v>96</v>
      </c>
      <c r="C2" s="324" t="s">
        <v>162</v>
      </c>
      <c r="D2" s="325" t="s">
        <v>160</v>
      </c>
      <c r="E2" s="328" t="s">
        <v>108</v>
      </c>
    </row>
    <row r="3" spans="1:5" ht="300" customHeight="1" x14ac:dyDescent="0.2">
      <c r="A3" s="218" t="s">
        <v>10</v>
      </c>
      <c r="B3" s="243" t="s">
        <v>145</v>
      </c>
      <c r="C3" s="244"/>
      <c r="D3" s="334"/>
      <c r="E3" s="87"/>
    </row>
    <row r="4" spans="1:5" ht="63" customHeight="1" x14ac:dyDescent="0.2">
      <c r="A4" s="218" t="s">
        <v>93</v>
      </c>
      <c r="B4" s="243" t="s">
        <v>91</v>
      </c>
      <c r="C4" s="244" t="s">
        <v>207</v>
      </c>
      <c r="D4" s="300"/>
      <c r="E4" s="244"/>
    </row>
    <row r="5" spans="1:5" ht="80.099999999999994" customHeight="1" x14ac:dyDescent="0.2">
      <c r="A5" s="218" t="s">
        <v>94</v>
      </c>
      <c r="B5" s="243" t="s">
        <v>92</v>
      </c>
      <c r="C5" s="244"/>
      <c r="D5" s="334"/>
      <c r="E5" s="244"/>
    </row>
    <row r="6" spans="1:5" ht="80.099999999999994" customHeight="1" x14ac:dyDescent="0.2">
      <c r="A6" s="218" t="s">
        <v>262</v>
      </c>
      <c r="B6" s="243" t="s">
        <v>263</v>
      </c>
      <c r="C6" s="244"/>
      <c r="D6" s="334"/>
      <c r="E6" s="244"/>
    </row>
    <row r="7" spans="1:5" ht="39.950000000000003" customHeight="1" x14ac:dyDescent="0.2">
      <c r="A7" s="635" t="s">
        <v>264</v>
      </c>
      <c r="B7" s="637" t="s">
        <v>265</v>
      </c>
      <c r="C7" s="617"/>
      <c r="D7" s="334"/>
      <c r="E7" s="244"/>
    </row>
    <row r="8" spans="1:5" ht="39.950000000000003" customHeight="1" x14ac:dyDescent="0.2">
      <c r="A8" s="636"/>
      <c r="B8" s="637"/>
      <c r="C8" s="617"/>
      <c r="D8" s="334"/>
      <c r="E8" s="244"/>
    </row>
    <row r="9" spans="1:5" ht="50.1" customHeight="1" x14ac:dyDescent="0.2">
      <c r="A9" s="635" t="s">
        <v>381</v>
      </c>
      <c r="B9" s="243" t="s">
        <v>378</v>
      </c>
      <c r="C9" s="617"/>
      <c r="D9" s="334"/>
      <c r="E9" s="634"/>
    </row>
    <row r="10" spans="1:5" ht="50.1" customHeight="1" x14ac:dyDescent="0.2">
      <c r="A10" s="636"/>
      <c r="B10" s="243" t="s">
        <v>377</v>
      </c>
      <c r="C10" s="617"/>
      <c r="D10" s="335"/>
      <c r="E10" s="634"/>
    </row>
    <row r="11" spans="1:5" ht="50.1" customHeight="1" x14ac:dyDescent="0.2">
      <c r="A11" s="218" t="s">
        <v>382</v>
      </c>
      <c r="B11" s="243"/>
      <c r="C11" s="617"/>
      <c r="D11" s="336"/>
      <c r="E11" s="244"/>
    </row>
  </sheetData>
  <mergeCells count="7">
    <mergeCell ref="A1:E1"/>
    <mergeCell ref="A7:A8"/>
    <mergeCell ref="B7:B8"/>
    <mergeCell ref="C7:C8"/>
    <mergeCell ref="A9:A10"/>
    <mergeCell ref="C9:C11"/>
    <mergeCell ref="E9:E10"/>
  </mergeCells>
  <pageMargins left="0.7" right="0.7" top="0.78740157499999996" bottom="0.78740157499999996"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FFFF"/>
  </sheetPr>
  <dimension ref="A1:E11"/>
  <sheetViews>
    <sheetView workbookViewId="0">
      <pane ySplit="2" topLeftCell="A6" activePane="bottomLeft" state="frozen"/>
      <selection activeCell="A2" sqref="A2:B3"/>
      <selection pane="bottomLeft" activeCell="B9" sqref="B9"/>
    </sheetView>
  </sheetViews>
  <sheetFormatPr baseColWidth="10" defaultRowHeight="12.75" x14ac:dyDescent="0.2"/>
  <cols>
    <col min="1" max="1" width="31.85546875" style="72" customWidth="1"/>
    <col min="2" max="2" width="13.28515625" style="73" customWidth="1"/>
    <col min="3" max="3" width="82.28515625" style="2" customWidth="1"/>
    <col min="4" max="4" width="14.28515625" style="2" customWidth="1"/>
    <col min="5" max="5" width="78.7109375" style="2" customWidth="1"/>
    <col min="6" max="6" width="11.7109375" style="2" bestFit="1" customWidth="1"/>
    <col min="7" max="10" width="11.42578125" style="2"/>
    <col min="11" max="11" width="19.140625" style="2" bestFit="1" customWidth="1"/>
    <col min="12" max="12" width="13.28515625" style="2" bestFit="1" customWidth="1"/>
    <col min="13" max="16384" width="11.42578125" style="2"/>
  </cols>
  <sheetData>
    <row r="1" spans="1:5" s="241" customFormat="1" ht="60" customHeight="1" x14ac:dyDescent="0.2">
      <c r="A1" s="612" t="s">
        <v>398</v>
      </c>
      <c r="B1" s="612"/>
      <c r="C1" s="612"/>
      <c r="D1" s="612"/>
      <c r="E1" s="612"/>
    </row>
    <row r="2" spans="1:5" ht="39.950000000000003" customHeight="1" x14ac:dyDescent="0.2">
      <c r="A2" s="324" t="s">
        <v>97</v>
      </c>
      <c r="B2" s="325" t="s">
        <v>96</v>
      </c>
      <c r="C2" s="324" t="s">
        <v>162</v>
      </c>
      <c r="D2" s="325" t="s">
        <v>160</v>
      </c>
      <c r="E2" s="328" t="s">
        <v>108</v>
      </c>
    </row>
    <row r="3" spans="1:5" ht="300" customHeight="1" x14ac:dyDescent="0.2">
      <c r="A3" s="218" t="s">
        <v>10</v>
      </c>
      <c r="B3" s="243" t="s">
        <v>145</v>
      </c>
      <c r="C3" s="244"/>
      <c r="D3" s="329">
        <f>h_1+h_2+h_3+h_4</f>
        <v>4.4950350877192982</v>
      </c>
      <c r="E3" s="87"/>
    </row>
    <row r="4" spans="1:5" ht="63" customHeight="1" x14ac:dyDescent="0.2">
      <c r="A4" s="218" t="s">
        <v>93</v>
      </c>
      <c r="B4" s="243" t="s">
        <v>91</v>
      </c>
      <c r="C4" s="244" t="s">
        <v>207</v>
      </c>
      <c r="D4" s="83">
        <v>0.5</v>
      </c>
      <c r="E4" s="244"/>
    </row>
    <row r="5" spans="1:5" ht="80.099999999999994" customHeight="1" x14ac:dyDescent="0.2">
      <c r="A5" s="218" t="s">
        <v>94</v>
      </c>
      <c r="B5" s="243" t="s">
        <v>92</v>
      </c>
      <c r="C5" s="244"/>
      <c r="D5" s="329">
        <f>(0.5*qA*(1+RV))/(1-VSV/1000)</f>
        <v>1.7365350877192982</v>
      </c>
      <c r="E5" s="244"/>
    </row>
    <row r="6" spans="1:5" ht="80.099999999999994" customHeight="1" x14ac:dyDescent="0.2">
      <c r="A6" s="218" t="s">
        <v>262</v>
      </c>
      <c r="B6" s="243" t="s">
        <v>263</v>
      </c>
      <c r="C6" s="244"/>
      <c r="D6" s="329">
        <f>(1.5*0.3*qSV*(1+RV))/500</f>
        <v>0.68849999999999989</v>
      </c>
      <c r="E6" s="244"/>
    </row>
    <row r="7" spans="1:5" ht="39.950000000000003" customHeight="1" x14ac:dyDescent="0.2">
      <c r="A7" s="635" t="s">
        <v>264</v>
      </c>
      <c r="B7" s="637" t="s">
        <v>265</v>
      </c>
      <c r="C7" s="617"/>
      <c r="D7" s="329">
        <f>(TSBB*qA*(1+RV)*tE)/TSBS</f>
        <v>1.3342608695652174</v>
      </c>
      <c r="E7" s="244" t="s">
        <v>380</v>
      </c>
    </row>
    <row r="8" spans="1:5" s="241" customFormat="1" ht="39.950000000000003" customHeight="1" x14ac:dyDescent="0.2">
      <c r="A8" s="636"/>
      <c r="B8" s="637"/>
      <c r="C8" s="617"/>
      <c r="D8" s="329">
        <v>1.57</v>
      </c>
      <c r="E8" s="244" t="s">
        <v>248</v>
      </c>
    </row>
    <row r="9" spans="1:5" ht="50.1" customHeight="1" x14ac:dyDescent="0.2">
      <c r="A9" s="635" t="s">
        <v>381</v>
      </c>
      <c r="B9" s="243" t="s">
        <v>378</v>
      </c>
      <c r="C9" s="617"/>
      <c r="D9" s="329">
        <f>(h_4*23/3)/23</f>
        <v>0.52333333333333332</v>
      </c>
      <c r="E9" s="634" t="s">
        <v>597</v>
      </c>
    </row>
    <row r="10" spans="1:5" ht="50.1" customHeight="1" x14ac:dyDescent="0.2">
      <c r="A10" s="636"/>
      <c r="B10" s="243" t="s">
        <v>377</v>
      </c>
      <c r="C10" s="617"/>
      <c r="D10" s="330">
        <f>3.4+20/3*(h_1+h_2+h_3+h_4-3.4)/20</f>
        <v>3.7650116959064328</v>
      </c>
      <c r="E10" s="634"/>
    </row>
    <row r="11" spans="1:5" ht="50.1" customHeight="1" x14ac:dyDescent="0.2">
      <c r="A11" s="218" t="s">
        <v>382</v>
      </c>
      <c r="B11" s="243"/>
      <c r="C11" s="617"/>
      <c r="D11" s="333">
        <f>h_4/23</f>
        <v>6.8260869565217389E-2</v>
      </c>
      <c r="E11" s="244" t="s">
        <v>379</v>
      </c>
    </row>
  </sheetData>
  <mergeCells count="7">
    <mergeCell ref="A1:E1"/>
    <mergeCell ref="E9:E10"/>
    <mergeCell ref="C9:C11"/>
    <mergeCell ref="C7:C8"/>
    <mergeCell ref="A7:A8"/>
    <mergeCell ref="B7:B8"/>
    <mergeCell ref="A9:A10"/>
  </mergeCells>
  <pageMargins left="0.7" right="0.7" top="0.78740157499999996" bottom="0.78740157499999996" header="0.3" footer="0.3"/>
  <pageSetup paperSize="9"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5"/>
  <sheetViews>
    <sheetView workbookViewId="0">
      <selection activeCell="A3" sqref="A3"/>
    </sheetView>
  </sheetViews>
  <sheetFormatPr baseColWidth="10" defaultRowHeight="12.75" x14ac:dyDescent="0.2"/>
  <cols>
    <col min="1" max="2" width="11.42578125" style="275"/>
    <col min="3" max="3" width="12.5703125" style="275" bestFit="1" customWidth="1"/>
    <col min="4" max="16384" width="11.42578125" style="275"/>
  </cols>
  <sheetData>
    <row r="1" spans="1:6" x14ac:dyDescent="0.2">
      <c r="C1" s="403" t="s">
        <v>469</v>
      </c>
      <c r="D1" s="408"/>
      <c r="E1" s="408"/>
      <c r="F1" s="408"/>
    </row>
    <row r="2" spans="1:6" x14ac:dyDescent="0.2">
      <c r="A2" s="275" t="s">
        <v>596</v>
      </c>
      <c r="B2" s="275" t="s">
        <v>595</v>
      </c>
      <c r="C2" s="403" t="s">
        <v>471</v>
      </c>
      <c r="D2" s="638" t="s">
        <v>475</v>
      </c>
      <c r="E2" s="639"/>
      <c r="F2" s="640"/>
    </row>
    <row r="3" spans="1:6" ht="15" x14ac:dyDescent="0.2">
      <c r="A3" s="404" t="s">
        <v>7</v>
      </c>
      <c r="B3" s="181" t="s">
        <v>473</v>
      </c>
      <c r="C3" s="405">
        <v>0.7</v>
      </c>
      <c r="D3" s="405">
        <v>1</v>
      </c>
      <c r="E3" s="406">
        <v>1.25</v>
      </c>
      <c r="F3" s="406">
        <v>1.5</v>
      </c>
    </row>
    <row r="4" spans="1:6" ht="14.25" x14ac:dyDescent="0.2">
      <c r="A4" s="404" t="s">
        <v>197</v>
      </c>
      <c r="B4" s="181" t="s">
        <v>472</v>
      </c>
      <c r="C4" s="407">
        <f>(C3*C5)/(1+C3)</f>
        <v>3.2941176470588234</v>
      </c>
      <c r="D4" s="407">
        <f>(D3*D5)/(1+D3)</f>
        <v>4</v>
      </c>
      <c r="E4" s="407">
        <f>(E3*E5)/(1+E3)</f>
        <v>4.4444444444444446</v>
      </c>
      <c r="F4" s="407">
        <f>(F3*F5)/(1+F3)</f>
        <v>4.8</v>
      </c>
    </row>
    <row r="5" spans="1:6" ht="14.25" x14ac:dyDescent="0.2">
      <c r="A5" s="404" t="s">
        <v>470</v>
      </c>
      <c r="B5" s="181" t="s">
        <v>474</v>
      </c>
      <c r="C5" s="405">
        <v>8</v>
      </c>
      <c r="D5" s="405">
        <v>8</v>
      </c>
      <c r="E5" s="405">
        <v>8</v>
      </c>
      <c r="F5" s="405">
        <v>8</v>
      </c>
    </row>
  </sheetData>
  <mergeCells count="1">
    <mergeCell ref="D2:F2"/>
  </mergeCells>
  <pageMargins left="0.7" right="0.7" top="0.78740157499999996" bottom="0.78740157499999996"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2"/>
  <sheetViews>
    <sheetView workbookViewId="0">
      <selection activeCell="A2" sqref="A2:B3"/>
    </sheetView>
  </sheetViews>
  <sheetFormatPr baseColWidth="10" defaultRowHeight="18" x14ac:dyDescent="0.2"/>
  <cols>
    <col min="1" max="1" width="11.42578125" style="409"/>
    <col min="2" max="2" width="17.5703125" style="411" customWidth="1"/>
    <col min="3" max="4" width="17.42578125" style="409" bestFit="1" customWidth="1"/>
    <col min="5" max="5" width="14" style="409" bestFit="1" customWidth="1"/>
    <col min="6" max="16384" width="11.42578125" style="409"/>
  </cols>
  <sheetData>
    <row r="1" spans="1:5" x14ac:dyDescent="0.2">
      <c r="A1" s="413" t="s">
        <v>476</v>
      </c>
    </row>
    <row r="3" spans="1:5" ht="54" x14ac:dyDescent="0.2">
      <c r="B3" s="412" t="s">
        <v>477</v>
      </c>
      <c r="C3" s="409" t="s">
        <v>481</v>
      </c>
      <c r="D3" s="410" t="s">
        <v>471</v>
      </c>
      <c r="E3" s="410" t="s">
        <v>483</v>
      </c>
    </row>
    <row r="4" spans="1:5" ht="20.100000000000001" customHeight="1" x14ac:dyDescent="0.2">
      <c r="B4" s="411" t="s">
        <v>479</v>
      </c>
      <c r="C4" s="419">
        <v>73745</v>
      </c>
      <c r="D4" s="416">
        <v>66200</v>
      </c>
      <c r="E4" s="422">
        <f>(D4-C4)/C4</f>
        <v>-0.10231202115397654</v>
      </c>
    </row>
    <row r="5" spans="1:5" ht="20.100000000000001" customHeight="1" x14ac:dyDescent="0.2">
      <c r="B5" s="411" t="s">
        <v>482</v>
      </c>
      <c r="C5" s="421">
        <v>243360</v>
      </c>
      <c r="D5" s="420">
        <v>218460</v>
      </c>
      <c r="E5" s="422">
        <f>(D5-C5)/C5</f>
        <v>-0.10231755424063116</v>
      </c>
    </row>
    <row r="6" spans="1:5" ht="20.100000000000001" customHeight="1" x14ac:dyDescent="0.2">
      <c r="B6" s="411" t="s">
        <v>480</v>
      </c>
      <c r="C6" s="414">
        <v>16.899999999999999</v>
      </c>
      <c r="D6" s="418">
        <v>15.2</v>
      </c>
      <c r="E6" s="422">
        <f>(D6-C6)/C6</f>
        <v>-0.10059171597633133</v>
      </c>
    </row>
    <row r="7" spans="1:5" ht="20.100000000000001" customHeight="1" x14ac:dyDescent="0.2">
      <c r="B7" s="411" t="s">
        <v>478</v>
      </c>
      <c r="C7" s="415">
        <f>(11.4+13.3)/2</f>
        <v>12.350000000000001</v>
      </c>
      <c r="D7" s="417">
        <v>14.4</v>
      </c>
      <c r="E7" s="422">
        <f>(D7-C7)/C7</f>
        <v>0.165991902834008</v>
      </c>
    </row>
    <row r="8" spans="1:5" ht="20.100000000000001" customHeight="1" x14ac:dyDescent="0.2"/>
    <row r="9" spans="1:5" ht="20.100000000000001" customHeight="1" x14ac:dyDescent="0.2"/>
    <row r="10" spans="1:5" ht="20.100000000000001" customHeight="1" x14ac:dyDescent="0.2"/>
    <row r="11" spans="1:5" ht="20.100000000000001" customHeight="1" x14ac:dyDescent="0.2"/>
    <row r="12" spans="1:5" ht="20.100000000000001" customHeight="1" x14ac:dyDescent="0.2"/>
  </sheetData>
  <pageMargins left="0.7" right="0.7" top="0.78740157499999996" bottom="0.78740157499999996" header="0.3" footer="0.3"/>
  <pageSetup paperSize="9" orientation="portrait" horizontalDpi="4294967293"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0:E12"/>
  <sheetViews>
    <sheetView workbookViewId="0"/>
  </sheetViews>
  <sheetFormatPr baseColWidth="10" defaultRowHeight="12.75" x14ac:dyDescent="0.2"/>
  <sheetData>
    <row r="10" spans="2:5" ht="15.75" x14ac:dyDescent="0.3">
      <c r="B10" t="s">
        <v>486</v>
      </c>
      <c r="C10">
        <v>36400</v>
      </c>
    </row>
    <row r="11" spans="2:5" ht="15.75" x14ac:dyDescent="0.3">
      <c r="B11" t="s">
        <v>485</v>
      </c>
      <c r="C11">
        <f>C12*(3-0.7)</f>
        <v>119599.99999999999</v>
      </c>
      <c r="E11">
        <f>C10/C12+C11/C12</f>
        <v>3</v>
      </c>
    </row>
    <row r="12" spans="2:5" ht="15.75" x14ac:dyDescent="0.3">
      <c r="B12" t="s">
        <v>484</v>
      </c>
      <c r="C12">
        <v>52000</v>
      </c>
      <c r="E12">
        <f>C12*2.3/24</f>
        <v>4983.333333333333</v>
      </c>
    </row>
  </sheetData>
  <pageMargins left="0.7" right="0.7" top="0.78740157499999996" bottom="0.78740157499999996"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3:G8"/>
  <sheetViews>
    <sheetView workbookViewId="0">
      <selection activeCell="A2" sqref="A2:B4"/>
    </sheetView>
  </sheetViews>
  <sheetFormatPr baseColWidth="10" defaultRowHeight="12.75" x14ac:dyDescent="0.2"/>
  <cols>
    <col min="1" max="3" width="11.42578125" style="275"/>
    <col min="4" max="6" width="12.140625" style="275" bestFit="1" customWidth="1"/>
    <col min="7" max="16384" width="11.42578125" style="275"/>
  </cols>
  <sheetData>
    <row r="3" spans="2:7" ht="15.75" x14ac:dyDescent="0.2">
      <c r="B3" s="642" t="s">
        <v>493</v>
      </c>
      <c r="C3" s="642" t="s">
        <v>487</v>
      </c>
      <c r="D3" s="641" t="s">
        <v>492</v>
      </c>
      <c r="E3" s="641"/>
      <c r="F3" s="641"/>
      <c r="G3" s="641" t="s">
        <v>491</v>
      </c>
    </row>
    <row r="4" spans="2:7" ht="15.75" x14ac:dyDescent="0.2">
      <c r="B4" s="642"/>
      <c r="C4" s="642"/>
      <c r="D4" s="423" t="s">
        <v>488</v>
      </c>
      <c r="E4" s="423" t="s">
        <v>489</v>
      </c>
      <c r="F4" s="423" t="s">
        <v>490</v>
      </c>
      <c r="G4" s="641"/>
    </row>
    <row r="5" spans="2:7" x14ac:dyDescent="0.2">
      <c r="B5" s="644">
        <v>7800</v>
      </c>
      <c r="C5" s="644">
        <v>2500</v>
      </c>
      <c r="D5" s="424">
        <v>6000</v>
      </c>
      <c r="E5" s="424">
        <v>23000</v>
      </c>
      <c r="F5" s="424">
        <v>37200</v>
      </c>
      <c r="G5" s="644">
        <v>17600</v>
      </c>
    </row>
    <row r="6" spans="2:7" x14ac:dyDescent="0.2">
      <c r="B6" s="645"/>
      <c r="C6" s="645"/>
      <c r="D6" s="426">
        <f>D5/D$8</f>
        <v>9.0634441087613288E-2</v>
      </c>
      <c r="E6" s="426">
        <f>E5/D8</f>
        <v>0.34743202416918428</v>
      </c>
      <c r="F6" s="426">
        <f>F5/D8</f>
        <v>0.5619335347432024</v>
      </c>
      <c r="G6" s="645"/>
    </row>
    <row r="7" spans="2:7" x14ac:dyDescent="0.2">
      <c r="B7" s="645"/>
      <c r="C7" s="645"/>
      <c r="D7" s="425" t="s">
        <v>494</v>
      </c>
      <c r="E7" s="425" t="s">
        <v>495</v>
      </c>
      <c r="F7" s="425" t="s">
        <v>496</v>
      </c>
      <c r="G7" s="645"/>
    </row>
    <row r="8" spans="2:7" x14ac:dyDescent="0.2">
      <c r="B8" s="646"/>
      <c r="C8" s="646"/>
      <c r="D8" s="643">
        <f>SUM(D5:F5)</f>
        <v>66200</v>
      </c>
      <c r="E8" s="643"/>
      <c r="F8" s="643"/>
      <c r="G8" s="646"/>
    </row>
  </sheetData>
  <mergeCells count="8">
    <mergeCell ref="D3:F3"/>
    <mergeCell ref="B3:B4"/>
    <mergeCell ref="G3:G4"/>
    <mergeCell ref="C3:C4"/>
    <mergeCell ref="D8:F8"/>
    <mergeCell ref="B5:B8"/>
    <mergeCell ref="G5:G8"/>
    <mergeCell ref="C5:C8"/>
  </mergeCells>
  <pageMargins left="0.7" right="0.7" top="0.78740157499999996" bottom="0.78740157499999996"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61EF9-D80D-41F3-948F-B845C8F18CBB}">
  <sheetPr>
    <pageSetUpPr fitToPage="1"/>
  </sheetPr>
  <dimension ref="A1:O38"/>
  <sheetViews>
    <sheetView zoomScale="75" zoomScaleNormal="75" workbookViewId="0"/>
  </sheetViews>
  <sheetFormatPr baseColWidth="10" defaultRowHeight="12.75" x14ac:dyDescent="0.2"/>
  <cols>
    <col min="1" max="1" width="29.140625" style="436" customWidth="1"/>
    <col min="2" max="2" width="120.28515625" customWidth="1"/>
    <col min="3" max="3" width="32.85546875" customWidth="1"/>
    <col min="4" max="4" width="25.42578125" style="163" customWidth="1"/>
    <col min="5" max="5" width="19.140625" style="163" customWidth="1"/>
    <col min="6" max="6" width="25" customWidth="1"/>
  </cols>
  <sheetData>
    <row r="1" spans="1:9" ht="353.25" customHeight="1" x14ac:dyDescent="0.2"/>
    <row r="2" spans="1:9" s="163" customFormat="1" ht="44.25" customHeight="1" x14ac:dyDescent="0.2">
      <c r="A2" s="558"/>
      <c r="B2" s="559"/>
      <c r="C2" s="556" t="s">
        <v>500</v>
      </c>
      <c r="D2" s="557"/>
      <c r="E2" s="556" t="s">
        <v>539</v>
      </c>
      <c r="F2" s="557"/>
      <c r="G2" s="555" t="s">
        <v>503</v>
      </c>
    </row>
    <row r="3" spans="1:9" ht="83.25" customHeight="1" x14ac:dyDescent="0.2">
      <c r="A3" s="560"/>
      <c r="B3" s="561"/>
      <c r="C3" s="442" t="s">
        <v>501</v>
      </c>
      <c r="D3" s="442" t="s">
        <v>509</v>
      </c>
      <c r="E3" s="480" t="s">
        <v>538</v>
      </c>
      <c r="F3" s="481" t="s">
        <v>540</v>
      </c>
      <c r="G3" s="555"/>
    </row>
    <row r="4" spans="1:9" ht="129.94999999999999" customHeight="1" x14ac:dyDescent="0.2">
      <c r="A4" s="437" t="s">
        <v>424</v>
      </c>
      <c r="B4" s="427"/>
      <c r="C4" s="438">
        <v>120</v>
      </c>
      <c r="D4" s="439">
        <f>C4/0.2</f>
        <v>600</v>
      </c>
      <c r="E4" s="437" t="s">
        <v>542</v>
      </c>
      <c r="F4" s="434">
        <f>D4*(1-0.35)</f>
        <v>390</v>
      </c>
      <c r="G4" s="429">
        <v>1</v>
      </c>
      <c r="I4">
        <f>600*(0.4*(1-0.35)+0.6*(1-0.6))</f>
        <v>300</v>
      </c>
    </row>
    <row r="5" spans="1:9" ht="65.099999999999994" customHeight="1" x14ac:dyDescent="0.2">
      <c r="A5" s="437" t="s">
        <v>504</v>
      </c>
      <c r="B5" s="432"/>
      <c r="C5" s="440">
        <v>70</v>
      </c>
      <c r="D5" s="441">
        <f>C5/0.2</f>
        <v>350</v>
      </c>
      <c r="E5" s="437" t="s">
        <v>541</v>
      </c>
      <c r="F5" s="435">
        <f>D5*(1-0.6)</f>
        <v>140</v>
      </c>
      <c r="G5" s="429">
        <v>2</v>
      </c>
    </row>
    <row r="6" spans="1:9" ht="65.099999999999994" customHeight="1" x14ac:dyDescent="0.2">
      <c r="A6" s="437" t="s">
        <v>505</v>
      </c>
      <c r="B6" s="427"/>
      <c r="C6" s="431"/>
      <c r="D6" s="431"/>
      <c r="E6" s="437" t="s">
        <v>545</v>
      </c>
      <c r="F6" s="435">
        <f>ROUND(F5*0.2,0)</f>
        <v>28</v>
      </c>
      <c r="G6" s="429">
        <v>3</v>
      </c>
    </row>
    <row r="7" spans="1:9" ht="65.099999999999994" customHeight="1" x14ac:dyDescent="6.25">
      <c r="A7" s="437" t="s">
        <v>508</v>
      </c>
      <c r="B7" s="433" t="s">
        <v>502</v>
      </c>
      <c r="C7" s="427"/>
      <c r="D7" s="427"/>
      <c r="E7" s="437" t="s">
        <v>544</v>
      </c>
      <c r="F7" s="435">
        <f>F5-F6</f>
        <v>112</v>
      </c>
      <c r="G7" s="429">
        <v>4</v>
      </c>
    </row>
    <row r="8" spans="1:9" ht="65.099999999999994" customHeight="1" x14ac:dyDescent="0.2">
      <c r="A8" s="437" t="s">
        <v>533</v>
      </c>
      <c r="B8" s="427"/>
      <c r="C8" s="431"/>
      <c r="D8" s="431"/>
      <c r="E8" s="437" t="s">
        <v>543</v>
      </c>
      <c r="F8" s="434">
        <f>ROUND(F7*1.6,0)</f>
        <v>179</v>
      </c>
      <c r="G8" s="429">
        <v>5</v>
      </c>
    </row>
    <row r="9" spans="1:9" s="163" customFormat="1" ht="65.099999999999994" customHeight="1" x14ac:dyDescent="0.2">
      <c r="A9" s="437" t="s">
        <v>534</v>
      </c>
      <c r="B9" s="432"/>
      <c r="C9" s="430"/>
      <c r="D9" s="428"/>
      <c r="E9" s="437" t="s">
        <v>546</v>
      </c>
      <c r="F9" s="434">
        <f>F4-F8</f>
        <v>211</v>
      </c>
      <c r="G9" s="429">
        <v>6</v>
      </c>
    </row>
    <row r="10" spans="1:9" ht="65.099999999999994" customHeight="1" x14ac:dyDescent="0.2">
      <c r="A10" s="437" t="s">
        <v>506</v>
      </c>
      <c r="B10" s="427"/>
      <c r="C10" s="431"/>
      <c r="D10" s="431"/>
      <c r="E10" s="437" t="s">
        <v>547</v>
      </c>
      <c r="F10" s="434">
        <f>ROUND(F4*0.05,0)</f>
        <v>20</v>
      </c>
      <c r="G10" s="429">
        <v>7</v>
      </c>
    </row>
    <row r="11" spans="1:9" ht="65.099999999999994" customHeight="1" x14ac:dyDescent="0.2">
      <c r="A11" s="437" t="s">
        <v>507</v>
      </c>
      <c r="B11" s="427"/>
      <c r="C11" s="431"/>
      <c r="D11" s="431"/>
      <c r="E11" s="437" t="s">
        <v>548</v>
      </c>
      <c r="F11" s="434">
        <f>F8*0.3</f>
        <v>53.699999999999996</v>
      </c>
      <c r="G11" s="429">
        <v>8</v>
      </c>
    </row>
    <row r="12" spans="1:9" ht="65.099999999999994" customHeight="1" x14ac:dyDescent="0.2">
      <c r="A12" s="437" t="s">
        <v>535</v>
      </c>
      <c r="B12" s="427"/>
      <c r="C12" s="427"/>
      <c r="D12" s="427"/>
      <c r="E12" s="437" t="s">
        <v>549</v>
      </c>
      <c r="F12" s="434">
        <f>F4-F10-F11</f>
        <v>316.3</v>
      </c>
      <c r="G12" s="429">
        <v>9</v>
      </c>
    </row>
    <row r="13" spans="1:9" s="163" customFormat="1" ht="65.099999999999994" customHeight="1" x14ac:dyDescent="0.2">
      <c r="A13" s="437" t="s">
        <v>536</v>
      </c>
      <c r="B13" s="427"/>
      <c r="C13" s="427"/>
      <c r="D13" s="427"/>
      <c r="E13" s="437" t="s">
        <v>550</v>
      </c>
      <c r="F13" s="434">
        <f>F8-F11</f>
        <v>125.30000000000001</v>
      </c>
      <c r="G13" s="429">
        <v>10</v>
      </c>
    </row>
    <row r="14" spans="1:9" ht="65.099999999999994" customHeight="1" x14ac:dyDescent="0.2">
      <c r="A14" s="437" t="s">
        <v>537</v>
      </c>
      <c r="B14" s="427"/>
      <c r="C14" s="427"/>
      <c r="D14" s="427"/>
      <c r="E14" s="437" t="s">
        <v>551</v>
      </c>
      <c r="F14" s="434">
        <f>F9-F10</f>
        <v>191</v>
      </c>
      <c r="G14" s="429">
        <v>11</v>
      </c>
    </row>
    <row r="16" spans="1:9" ht="65.099999999999994" customHeight="1" x14ac:dyDescent="0.2"/>
    <row r="17" ht="65.099999999999994" customHeight="1" x14ac:dyDescent="0.2"/>
    <row r="38" spans="15:15" x14ac:dyDescent="0.2">
      <c r="O38">
        <v>600</v>
      </c>
    </row>
  </sheetData>
  <mergeCells count="4">
    <mergeCell ref="G2:G3"/>
    <mergeCell ref="C2:D2"/>
    <mergeCell ref="A2:B3"/>
    <mergeCell ref="E2:F2"/>
  </mergeCells>
  <pageMargins left="0.70866141732283472" right="0.70866141732283472" top="0.78740157480314965" bottom="0.78740157480314965" header="0.31496062992125984" footer="0.31496062992125984"/>
  <pageSetup paperSize="9" scale="2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C25-A502-430F-8B05-5ECC847D7A7E}">
  <sheetPr>
    <pageSetUpPr fitToPage="1"/>
  </sheetPr>
  <dimension ref="A1:O39"/>
  <sheetViews>
    <sheetView showGridLines="0" workbookViewId="0">
      <selection sqref="A1:M1"/>
    </sheetView>
  </sheetViews>
  <sheetFormatPr baseColWidth="10" defaultRowHeight="20.100000000000001" customHeight="1" x14ac:dyDescent="0.2"/>
  <cols>
    <col min="1" max="1" width="11.42578125" style="380"/>
    <col min="2" max="15" width="15.7109375" style="380" customWidth="1"/>
    <col min="16" max="16384" width="11.42578125" style="380"/>
  </cols>
  <sheetData>
    <row r="1" spans="1:15" ht="29.25" customHeight="1" thickBot="1" x14ac:dyDescent="0.25">
      <c r="A1" s="577" t="s">
        <v>510</v>
      </c>
      <c r="B1" s="578"/>
      <c r="C1" s="578"/>
      <c r="D1" s="578"/>
      <c r="E1" s="579"/>
      <c r="F1" s="578"/>
      <c r="G1" s="578"/>
      <c r="H1" s="578"/>
      <c r="I1" s="578"/>
      <c r="J1" s="578"/>
      <c r="K1" s="579"/>
      <c r="L1" s="578"/>
      <c r="M1" s="580"/>
    </row>
    <row r="2" spans="1:15" s="384" customFormat="1" ht="45" x14ac:dyDescent="0.2">
      <c r="A2" s="381"/>
      <c r="B2" s="443"/>
      <c r="C2" s="443"/>
      <c r="D2" s="443"/>
      <c r="E2" s="444" t="s">
        <v>424</v>
      </c>
      <c r="F2" s="443"/>
      <c r="G2" s="443"/>
      <c r="H2" s="443"/>
      <c r="I2" s="443"/>
      <c r="J2" s="443"/>
      <c r="K2" s="444" t="s">
        <v>433</v>
      </c>
      <c r="L2" s="443"/>
      <c r="M2" s="383"/>
    </row>
    <row r="3" spans="1:15" s="384" customFormat="1" ht="20.100000000000001" customHeight="1" x14ac:dyDescent="0.2">
      <c r="A3" s="381"/>
      <c r="B3" s="443"/>
      <c r="C3" s="443"/>
      <c r="D3" s="443"/>
      <c r="E3" s="445">
        <f>600*(1-0.35)</f>
        <v>390</v>
      </c>
      <c r="F3" s="443"/>
      <c r="G3" s="443"/>
      <c r="H3" s="443"/>
      <c r="I3" s="443"/>
      <c r="J3" s="443"/>
      <c r="K3" s="446">
        <f>350*(1-0.6)</f>
        <v>140</v>
      </c>
      <c r="L3" s="443"/>
      <c r="M3" s="383"/>
      <c r="N3" s="385"/>
      <c r="O3" s="385"/>
    </row>
    <row r="4" spans="1:15" s="384" customFormat="1" ht="20.100000000000001" customHeight="1" x14ac:dyDescent="0.2">
      <c r="A4" s="381"/>
      <c r="B4" s="443"/>
      <c r="C4" s="443"/>
      <c r="D4" s="443"/>
      <c r="E4" s="443"/>
      <c r="F4" s="443"/>
      <c r="G4" s="443"/>
      <c r="H4" s="443"/>
      <c r="I4" s="443"/>
      <c r="J4" s="443"/>
      <c r="K4" s="443"/>
      <c r="L4" s="443"/>
      <c r="M4" s="383"/>
      <c r="N4" s="385"/>
      <c r="O4" s="385"/>
    </row>
    <row r="5" spans="1:15" s="384" customFormat="1" ht="20.100000000000001" customHeight="1" x14ac:dyDescent="0.2">
      <c r="A5" s="381"/>
      <c r="B5" s="443"/>
      <c r="C5" s="443"/>
      <c r="D5" s="447"/>
      <c r="E5" s="443"/>
      <c r="F5" s="448"/>
      <c r="G5" s="443"/>
      <c r="H5" s="443"/>
      <c r="I5" s="443"/>
      <c r="J5" s="443"/>
      <c r="K5" s="443"/>
      <c r="L5" s="449">
        <f>0.2</f>
        <v>0.2</v>
      </c>
      <c r="M5" s="383"/>
      <c r="N5" s="385"/>
      <c r="O5" s="385"/>
    </row>
    <row r="6" spans="1:15" s="384" customFormat="1" ht="20.100000000000001" customHeight="1" x14ac:dyDescent="0.2">
      <c r="A6" s="381"/>
      <c r="B6" s="443"/>
      <c r="C6" s="443"/>
      <c r="D6" s="443"/>
      <c r="E6" s="443"/>
      <c r="F6" s="443"/>
      <c r="G6" s="443"/>
      <c r="H6" s="443"/>
      <c r="I6" s="443"/>
      <c r="J6" s="443"/>
      <c r="K6" s="443"/>
      <c r="L6" s="443"/>
      <c r="M6" s="383"/>
      <c r="N6" s="385"/>
      <c r="O6" s="385"/>
    </row>
    <row r="7" spans="1:15" s="384" customFormat="1" ht="42.75" x14ac:dyDescent="0.25">
      <c r="A7" s="381"/>
      <c r="B7" s="443"/>
      <c r="C7" s="450" t="s">
        <v>511</v>
      </c>
      <c r="D7" s="443"/>
      <c r="E7" s="451">
        <v>0.05</v>
      </c>
      <c r="F7" s="443"/>
      <c r="G7" s="450" t="s">
        <v>512</v>
      </c>
      <c r="H7" s="581" t="s">
        <v>513</v>
      </c>
      <c r="I7" s="582"/>
      <c r="J7" s="450" t="s">
        <v>514</v>
      </c>
      <c r="K7" s="443"/>
      <c r="L7" s="450" t="s">
        <v>515</v>
      </c>
      <c r="M7" s="383"/>
      <c r="N7" s="385"/>
      <c r="O7" s="385"/>
    </row>
    <row r="8" spans="1:15" s="384" customFormat="1" ht="20.100000000000001" customHeight="1" x14ac:dyDescent="0.2">
      <c r="A8" s="381"/>
      <c r="B8" s="443"/>
      <c r="C8" s="452">
        <f>E3-G8</f>
        <v>211</v>
      </c>
      <c r="D8" s="443"/>
      <c r="E8" s="443"/>
      <c r="F8" s="443"/>
      <c r="G8" s="452">
        <f>ROUND(J8*1.6,0)</f>
        <v>179</v>
      </c>
      <c r="H8" s="443"/>
      <c r="I8" s="443"/>
      <c r="J8" s="453">
        <f>K3-L8</f>
        <v>112</v>
      </c>
      <c r="K8" s="443"/>
      <c r="L8" s="453">
        <f>ROUND(K3*0.2,0)</f>
        <v>28</v>
      </c>
      <c r="M8" s="383"/>
    </row>
    <row r="9" spans="1:15" s="384" customFormat="1" ht="20.100000000000001" customHeight="1" x14ac:dyDescent="0.2">
      <c r="A9" s="381"/>
      <c r="B9" s="583"/>
      <c r="C9" s="443"/>
      <c r="D9" s="585"/>
      <c r="E9" s="443"/>
      <c r="F9" s="443"/>
      <c r="G9" s="443"/>
      <c r="H9" s="587">
        <f>0.3</f>
        <v>0.3</v>
      </c>
      <c r="I9" s="443"/>
      <c r="J9" s="454">
        <f>J8/K3</f>
        <v>0.8</v>
      </c>
      <c r="K9" s="443"/>
      <c r="L9" s="454">
        <f>L8/K3</f>
        <v>0.2</v>
      </c>
      <c r="M9" s="383"/>
    </row>
    <row r="10" spans="1:15" s="384" customFormat="1" ht="20.100000000000001" customHeight="1" x14ac:dyDescent="0.2">
      <c r="A10" s="381"/>
      <c r="B10" s="584"/>
      <c r="C10" s="443"/>
      <c r="D10" s="586"/>
      <c r="E10" s="443"/>
      <c r="F10" s="455"/>
      <c r="G10" s="455"/>
      <c r="H10" s="588"/>
      <c r="I10" s="443"/>
      <c r="J10" s="443"/>
      <c r="K10" s="443"/>
      <c r="L10" s="443"/>
      <c r="M10" s="383"/>
    </row>
    <row r="11" spans="1:15" s="384" customFormat="1" ht="42.75" x14ac:dyDescent="0.2">
      <c r="A11" s="381"/>
      <c r="B11" s="450" t="s">
        <v>516</v>
      </c>
      <c r="C11" s="443"/>
      <c r="D11" s="450" t="s">
        <v>517</v>
      </c>
      <c r="E11" s="443"/>
      <c r="F11" s="450" t="s">
        <v>518</v>
      </c>
      <c r="G11" s="455"/>
      <c r="H11" s="450" t="s">
        <v>519</v>
      </c>
      <c r="I11" s="443"/>
      <c r="J11" s="443"/>
      <c r="K11" s="443"/>
      <c r="L11" s="443"/>
      <c r="M11" s="383"/>
    </row>
    <row r="12" spans="1:15" s="384" customFormat="1" ht="20.100000000000001" customHeight="1" x14ac:dyDescent="0.2">
      <c r="A12" s="381"/>
      <c r="B12" s="452">
        <f>C8-D12</f>
        <v>191</v>
      </c>
      <c r="C12" s="443"/>
      <c r="D12" s="452">
        <f>ROUND(E3*0.05,0)</f>
        <v>20</v>
      </c>
      <c r="E12" s="443"/>
      <c r="F12" s="452">
        <f>G8-H12</f>
        <v>125.30000000000001</v>
      </c>
      <c r="G12" s="443"/>
      <c r="H12" s="452">
        <f>G8*0.3</f>
        <v>53.699999999999996</v>
      </c>
      <c r="I12" s="443"/>
      <c r="J12" s="443"/>
      <c r="K12" s="443"/>
      <c r="L12" s="443"/>
      <c r="M12" s="383"/>
    </row>
    <row r="13" spans="1:15" s="384" customFormat="1" ht="20.100000000000001" customHeight="1" x14ac:dyDescent="0.2">
      <c r="A13" s="381"/>
      <c r="B13" s="454">
        <f>B12/$E$3</f>
        <v>0.48974358974358972</v>
      </c>
      <c r="C13" s="443"/>
      <c r="D13" s="454">
        <f>D12/$E$3</f>
        <v>5.128205128205128E-2</v>
      </c>
      <c r="E13" s="443"/>
      <c r="F13" s="454">
        <f>F12/$E$3</f>
        <v>0.32128205128205128</v>
      </c>
      <c r="G13" s="443"/>
      <c r="H13" s="454">
        <f>H12/$E$3</f>
        <v>0.13769230769230767</v>
      </c>
      <c r="I13" s="443"/>
      <c r="J13" s="443"/>
      <c r="K13" s="443"/>
      <c r="L13" s="443"/>
      <c r="M13" s="383"/>
    </row>
    <row r="14" spans="1:15" s="384" customFormat="1" ht="20.100000000000001" customHeight="1" x14ac:dyDescent="0.2">
      <c r="A14" s="381"/>
      <c r="B14" s="456"/>
      <c r="C14" s="443"/>
      <c r="D14" s="456"/>
      <c r="E14" s="443"/>
      <c r="F14" s="456"/>
      <c r="G14" s="443"/>
      <c r="H14" s="456"/>
      <c r="I14" s="443"/>
      <c r="J14" s="443"/>
      <c r="K14" s="443"/>
      <c r="L14" s="443"/>
      <c r="M14" s="383"/>
    </row>
    <row r="15" spans="1:15" s="384" customFormat="1" ht="20.100000000000001" customHeight="1" x14ac:dyDescent="0.2">
      <c r="A15" s="381"/>
      <c r="B15" s="456"/>
      <c r="C15" s="443"/>
      <c r="D15" s="456"/>
      <c r="E15" s="443"/>
      <c r="F15" s="457"/>
      <c r="G15" s="458"/>
      <c r="H15" s="456"/>
      <c r="I15" s="443"/>
      <c r="J15" s="443"/>
      <c r="K15" s="443"/>
      <c r="L15" s="443"/>
      <c r="M15" s="383"/>
    </row>
    <row r="16" spans="1:15" s="384" customFormat="1" ht="20.100000000000001" customHeight="1" x14ac:dyDescent="0.2">
      <c r="A16" s="381"/>
      <c r="B16" s="456"/>
      <c r="C16" s="443"/>
      <c r="D16" s="456"/>
      <c r="E16" s="443"/>
      <c r="F16" s="456"/>
      <c r="G16" s="443"/>
      <c r="H16" s="456"/>
      <c r="I16" s="443"/>
      <c r="J16" s="443"/>
      <c r="K16" s="443"/>
      <c r="L16" s="443"/>
      <c r="M16" s="383"/>
    </row>
    <row r="17" spans="1:14" s="384" customFormat="1" ht="20.100000000000001" customHeight="1" x14ac:dyDescent="0.2">
      <c r="A17" s="381"/>
      <c r="B17" s="456"/>
      <c r="C17" s="443"/>
      <c r="D17" s="459">
        <f>B12+F12</f>
        <v>316.3</v>
      </c>
      <c r="E17" s="443"/>
      <c r="F17" s="456"/>
      <c r="G17" s="443"/>
      <c r="H17" s="456"/>
      <c r="I17" s="443"/>
      <c r="J17" s="443"/>
      <c r="K17" s="443"/>
      <c r="L17" s="443"/>
      <c r="M17" s="383"/>
    </row>
    <row r="18" spans="1:14" s="384" customFormat="1" ht="20.100000000000001" customHeight="1" x14ac:dyDescent="0.2">
      <c r="A18" s="381"/>
      <c r="B18" s="456"/>
      <c r="C18" s="443"/>
      <c r="D18" s="460" t="s">
        <v>520</v>
      </c>
      <c r="E18" s="443"/>
      <c r="F18" s="456"/>
      <c r="G18" s="443"/>
      <c r="H18" s="456"/>
      <c r="I18" s="443"/>
      <c r="J18" s="443"/>
      <c r="K18" s="443"/>
      <c r="L18" s="443"/>
      <c r="M18" s="383"/>
    </row>
    <row r="19" spans="1:14" s="384" customFormat="1" ht="20.100000000000001" customHeight="1" thickBot="1" x14ac:dyDescent="0.25">
      <c r="A19" s="386"/>
      <c r="B19" s="387"/>
      <c r="C19" s="387"/>
      <c r="D19" s="387"/>
      <c r="E19" s="387"/>
      <c r="F19" s="387"/>
      <c r="G19" s="387"/>
      <c r="H19" s="387"/>
      <c r="I19" s="387"/>
      <c r="J19" s="387"/>
      <c r="K19" s="387"/>
      <c r="L19" s="387"/>
      <c r="M19" s="388"/>
    </row>
    <row r="20" spans="1:14" ht="20.100000000000001" customHeight="1" thickBot="1" x14ac:dyDescent="0.25">
      <c r="A20" s="389"/>
      <c r="B20" s="390"/>
      <c r="C20" s="390"/>
      <c r="D20" s="390"/>
      <c r="E20" s="461" t="s">
        <v>424</v>
      </c>
      <c r="F20" s="390"/>
      <c r="G20" s="390"/>
      <c r="H20" s="390"/>
      <c r="I20" s="391"/>
      <c r="J20" s="462"/>
      <c r="K20" s="463"/>
      <c r="L20" s="463"/>
      <c r="M20" s="464"/>
      <c r="N20" s="464"/>
    </row>
    <row r="21" spans="1:14" ht="20.100000000000001" customHeight="1" x14ac:dyDescent="0.2">
      <c r="A21" s="392"/>
      <c r="B21" s="465"/>
      <c r="C21" s="465"/>
      <c r="D21" s="465"/>
      <c r="E21" s="466">
        <f>E3</f>
        <v>390</v>
      </c>
      <c r="F21" s="465"/>
      <c r="G21" s="465"/>
      <c r="H21" s="465"/>
      <c r="I21" s="393"/>
      <c r="J21" s="562" t="s">
        <v>417</v>
      </c>
      <c r="K21" s="565" t="s">
        <v>521</v>
      </c>
      <c r="L21" s="566"/>
      <c r="M21" s="571" t="s">
        <v>522</v>
      </c>
      <c r="N21" s="572"/>
    </row>
    <row r="22" spans="1:14" ht="20.100000000000001" customHeight="1" x14ac:dyDescent="0.2">
      <c r="A22" s="392"/>
      <c r="B22" s="465"/>
      <c r="C22" s="465"/>
      <c r="D22" s="465"/>
      <c r="E22" s="465"/>
      <c r="F22" s="465"/>
      <c r="G22" s="465"/>
      <c r="H22" s="465"/>
      <c r="I22" s="393"/>
      <c r="J22" s="563"/>
      <c r="K22" s="567"/>
      <c r="L22" s="568"/>
      <c r="M22" s="573"/>
      <c r="N22" s="574"/>
    </row>
    <row r="23" spans="1:14" ht="20.100000000000001" customHeight="1" x14ac:dyDescent="0.2">
      <c r="A23" s="392"/>
      <c r="B23" s="465"/>
      <c r="C23" s="465"/>
      <c r="D23" s="465"/>
      <c r="E23" s="465"/>
      <c r="F23" s="465"/>
      <c r="G23" s="465"/>
      <c r="H23" s="465"/>
      <c r="I23" s="393"/>
      <c r="J23" s="563"/>
      <c r="K23" s="567"/>
      <c r="L23" s="568"/>
      <c r="M23" s="573"/>
      <c r="N23" s="574"/>
    </row>
    <row r="24" spans="1:14" ht="20.100000000000001" customHeight="1" thickBot="1" x14ac:dyDescent="0.25">
      <c r="A24" s="392"/>
      <c r="B24" s="465"/>
      <c r="C24" s="465"/>
      <c r="D24" s="465"/>
      <c r="E24" s="465"/>
      <c r="F24" s="465"/>
      <c r="G24" s="465"/>
      <c r="H24" s="465"/>
      <c r="I24" s="393"/>
      <c r="J24" s="564"/>
      <c r="K24" s="569"/>
      <c r="L24" s="570"/>
      <c r="M24" s="575"/>
      <c r="N24" s="576"/>
    </row>
    <row r="25" spans="1:14" ht="20.100000000000001" customHeight="1" thickBot="1" x14ac:dyDescent="0.25">
      <c r="A25" s="392"/>
      <c r="B25" s="465"/>
      <c r="C25" s="467" t="s">
        <v>520</v>
      </c>
      <c r="D25" s="465"/>
      <c r="E25" s="465"/>
      <c r="F25" s="465"/>
      <c r="G25" s="468" t="s">
        <v>523</v>
      </c>
      <c r="H25" s="465"/>
      <c r="I25" s="393"/>
      <c r="J25" s="469" t="s">
        <v>524</v>
      </c>
      <c r="K25" s="589">
        <v>60</v>
      </c>
      <c r="L25" s="590"/>
      <c r="M25" s="591">
        <v>300</v>
      </c>
      <c r="N25" s="592"/>
    </row>
    <row r="26" spans="1:14" ht="20.100000000000001" customHeight="1" thickBot="1" x14ac:dyDescent="0.25">
      <c r="A26" s="392"/>
      <c r="B26" s="465"/>
      <c r="C26" s="470">
        <f>B13+F13</f>
        <v>0.81102564102564101</v>
      </c>
      <c r="D26" s="465"/>
      <c r="E26" s="465"/>
      <c r="F26" s="465"/>
      <c r="G26" s="470">
        <f>1-C26</f>
        <v>0.18897435897435899</v>
      </c>
      <c r="H26" s="465"/>
      <c r="I26" s="393"/>
      <c r="J26" s="469" t="s">
        <v>525</v>
      </c>
      <c r="K26" s="589">
        <v>120</v>
      </c>
      <c r="L26" s="590"/>
      <c r="M26" s="591">
        <v>600</v>
      </c>
      <c r="N26" s="592"/>
    </row>
    <row r="27" spans="1:14" ht="20.100000000000001" customHeight="1" thickBot="1" x14ac:dyDescent="0.25">
      <c r="A27" s="392"/>
      <c r="B27" s="465"/>
      <c r="C27" s="466">
        <f>E21*C26</f>
        <v>316.3</v>
      </c>
      <c r="D27" s="465"/>
      <c r="E27" s="465"/>
      <c r="F27" s="465"/>
      <c r="G27" s="466">
        <f>E21*G26</f>
        <v>73.7</v>
      </c>
      <c r="H27" s="465"/>
      <c r="I27" s="393"/>
      <c r="J27" s="469" t="s">
        <v>437</v>
      </c>
      <c r="K27" s="589">
        <v>40</v>
      </c>
      <c r="L27" s="590"/>
      <c r="M27" s="591">
        <f>M$25*K27/K$25</f>
        <v>200</v>
      </c>
      <c r="N27" s="592"/>
    </row>
    <row r="28" spans="1:14" ht="20.100000000000001" customHeight="1" thickBot="1" x14ac:dyDescent="0.25">
      <c r="A28" s="392"/>
      <c r="B28" s="465"/>
      <c r="C28" s="465"/>
      <c r="D28" s="465"/>
      <c r="E28" s="465"/>
      <c r="F28" s="465"/>
      <c r="G28" s="465"/>
      <c r="H28" s="465"/>
      <c r="I28" s="393"/>
      <c r="J28" s="469" t="s">
        <v>526</v>
      </c>
      <c r="K28" s="589">
        <v>70</v>
      </c>
      <c r="L28" s="590"/>
      <c r="M28" s="591">
        <f>M$25*K28/K$25</f>
        <v>350</v>
      </c>
      <c r="N28" s="592"/>
    </row>
    <row r="29" spans="1:14" ht="19.5" customHeight="1" thickBot="1" x14ac:dyDescent="0.25">
      <c r="A29" s="392"/>
      <c r="B29" s="465"/>
      <c r="C29" s="465"/>
      <c r="D29" s="465"/>
      <c r="E29" s="465"/>
      <c r="F29" s="465"/>
      <c r="G29" s="465"/>
      <c r="H29" s="465"/>
      <c r="I29" s="393"/>
      <c r="J29" s="469" t="s">
        <v>426</v>
      </c>
      <c r="K29" s="589">
        <v>11</v>
      </c>
      <c r="L29" s="590"/>
      <c r="M29" s="591">
        <f>M$25*K29/K$25</f>
        <v>55</v>
      </c>
      <c r="N29" s="592"/>
    </row>
    <row r="30" spans="1:14" ht="50.25" customHeight="1" thickBot="1" x14ac:dyDescent="0.25">
      <c r="A30" s="392"/>
      <c r="B30" s="471" t="s">
        <v>527</v>
      </c>
      <c r="C30" s="465"/>
      <c r="D30" s="467" t="s">
        <v>528</v>
      </c>
      <c r="E30" s="465"/>
      <c r="F30" s="472" t="s">
        <v>529</v>
      </c>
      <c r="G30" s="465"/>
      <c r="H30" s="472" t="s">
        <v>530</v>
      </c>
      <c r="I30" s="393"/>
      <c r="J30" s="469" t="s">
        <v>531</v>
      </c>
      <c r="K30" s="589">
        <v>8</v>
      </c>
      <c r="L30" s="590"/>
      <c r="M30" s="591">
        <f>M$25*K30/K$25</f>
        <v>40</v>
      </c>
      <c r="N30" s="592"/>
    </row>
    <row r="31" spans="1:14" ht="20.100000000000001" customHeight="1" thickBot="1" x14ac:dyDescent="0.25">
      <c r="A31" s="392"/>
      <c r="B31" s="470">
        <f>(F13*E3)/(C26*E3)</f>
        <v>0.39614290230793547</v>
      </c>
      <c r="C31" s="465"/>
      <c r="D31" s="470">
        <f>1-B31</f>
        <v>0.60385709769206453</v>
      </c>
      <c r="E31" s="465"/>
      <c r="F31" s="470">
        <f>(H13*E3)/(G26*E3)</f>
        <v>0.72862957937584782</v>
      </c>
      <c r="G31" s="465"/>
      <c r="H31" s="470">
        <f>1-F31</f>
        <v>0.27137042062415218</v>
      </c>
      <c r="I31" s="393"/>
      <c r="J31" s="469" t="s">
        <v>439</v>
      </c>
      <c r="K31" s="589">
        <v>2</v>
      </c>
      <c r="L31" s="590"/>
      <c r="M31" s="591">
        <f>M$25*K31/K$25</f>
        <v>10</v>
      </c>
      <c r="N31" s="592"/>
    </row>
    <row r="32" spans="1:14" ht="20.100000000000001" customHeight="1" x14ac:dyDescent="0.2">
      <c r="A32" s="392"/>
      <c r="B32" s="466">
        <f>C27*B31</f>
        <v>125.3</v>
      </c>
      <c r="C32" s="465"/>
      <c r="D32" s="466">
        <f>C27*D31</f>
        <v>191.00000000000003</v>
      </c>
      <c r="E32" s="465"/>
      <c r="F32" s="466">
        <f>G27*F31</f>
        <v>53.699999999999989</v>
      </c>
      <c r="G32" s="465"/>
      <c r="H32" s="466">
        <f>G27*H31</f>
        <v>20.000000000000018</v>
      </c>
      <c r="I32" s="393"/>
      <c r="J32" s="473"/>
    </row>
    <row r="33" spans="1:13" ht="20.100000000000001" customHeight="1" x14ac:dyDescent="0.2">
      <c r="A33" s="392"/>
      <c r="B33" s="474">
        <f>B32/$E$21</f>
        <v>0.32128205128205128</v>
      </c>
      <c r="C33" s="465"/>
      <c r="D33" s="474">
        <f>D32/$E$21</f>
        <v>0.48974358974358984</v>
      </c>
      <c r="E33" s="465"/>
      <c r="F33" s="474">
        <f>F32/$E$21</f>
        <v>0.13769230769230767</v>
      </c>
      <c r="G33" s="465"/>
      <c r="H33" s="474">
        <f>H32/$E$21</f>
        <v>5.1282051282051329E-2</v>
      </c>
      <c r="I33" s="393"/>
      <c r="J33" s="473"/>
      <c r="K33" s="475"/>
      <c r="L33" s="475"/>
      <c r="M33" s="475"/>
    </row>
    <row r="34" spans="1:13" ht="20.100000000000001" customHeight="1" x14ac:dyDescent="0.2">
      <c r="A34" s="392"/>
      <c r="B34" s="476"/>
      <c r="C34" s="465"/>
      <c r="D34" s="476"/>
      <c r="E34" s="465"/>
      <c r="F34" s="476"/>
      <c r="G34" s="465"/>
      <c r="H34" s="476"/>
      <c r="I34" s="393"/>
      <c r="J34" s="473"/>
      <c r="K34" s="475"/>
      <c r="L34" s="475"/>
      <c r="M34" s="475"/>
    </row>
    <row r="35" spans="1:13" ht="20.100000000000001" customHeight="1" x14ac:dyDescent="0.2">
      <c r="A35" s="392"/>
      <c r="B35" s="476"/>
      <c r="C35" s="465"/>
      <c r="D35" s="476"/>
      <c r="E35" s="465"/>
      <c r="F35" s="476"/>
      <c r="G35" s="465"/>
      <c r="H35" s="476"/>
      <c r="I35" s="393"/>
      <c r="J35" s="473"/>
      <c r="K35" s="475"/>
      <c r="L35" s="475"/>
      <c r="M35" s="475"/>
    </row>
    <row r="36" spans="1:13" ht="20.100000000000001" customHeight="1" x14ac:dyDescent="0.2">
      <c r="A36" s="392"/>
      <c r="B36" s="476"/>
      <c r="C36" s="465"/>
      <c r="D36" s="476"/>
      <c r="E36" s="477"/>
      <c r="F36" s="476"/>
      <c r="G36" s="465"/>
      <c r="H36" s="476"/>
      <c r="I36" s="393"/>
      <c r="J36" s="473"/>
      <c r="K36" s="475"/>
      <c r="L36" s="475"/>
      <c r="M36" s="475"/>
    </row>
    <row r="37" spans="1:13" ht="20.100000000000001" customHeight="1" x14ac:dyDescent="0.2">
      <c r="A37" s="392"/>
      <c r="B37" s="476"/>
      <c r="C37" s="465"/>
      <c r="D37" s="478">
        <f>(B32+F32)/1.6</f>
        <v>111.875</v>
      </c>
      <c r="E37" s="465"/>
      <c r="F37" s="476"/>
      <c r="G37" s="465"/>
      <c r="H37" s="476"/>
      <c r="I37" s="393"/>
      <c r="J37" s="473"/>
      <c r="K37" s="475"/>
      <c r="L37" s="475"/>
      <c r="M37" s="475"/>
    </row>
    <row r="38" spans="1:13" ht="20.100000000000001" customHeight="1" x14ac:dyDescent="0.2">
      <c r="A38" s="392"/>
      <c r="B38" s="476"/>
      <c r="C38" s="465"/>
      <c r="D38" s="479" t="s">
        <v>532</v>
      </c>
      <c r="E38" s="477"/>
      <c r="F38" s="476"/>
      <c r="G38" s="465"/>
      <c r="H38" s="476"/>
      <c r="I38" s="393"/>
      <c r="J38" s="473"/>
      <c r="K38" s="475"/>
      <c r="L38" s="475"/>
      <c r="M38" s="475"/>
    </row>
    <row r="39" spans="1:13" ht="20.100000000000001" customHeight="1" thickBot="1" x14ac:dyDescent="0.25">
      <c r="A39" s="394"/>
      <c r="B39" s="395"/>
      <c r="C39" s="396"/>
      <c r="D39" s="395"/>
      <c r="E39" s="396"/>
      <c r="F39" s="395"/>
      <c r="G39" s="396"/>
      <c r="H39" s="395"/>
      <c r="I39" s="397"/>
      <c r="K39" s="475"/>
      <c r="L39" s="475"/>
      <c r="M39" s="475"/>
    </row>
  </sheetData>
  <mergeCells count="22">
    <mergeCell ref="K31:L31"/>
    <mergeCell ref="M31:N31"/>
    <mergeCell ref="K28:L28"/>
    <mergeCell ref="M28:N28"/>
    <mergeCell ref="K29:L29"/>
    <mergeCell ref="M29:N29"/>
    <mergeCell ref="K30:L30"/>
    <mergeCell ref="M30:N30"/>
    <mergeCell ref="K25:L25"/>
    <mergeCell ref="M25:N25"/>
    <mergeCell ref="K26:L26"/>
    <mergeCell ref="M26:N26"/>
    <mergeCell ref="K27:L27"/>
    <mergeCell ref="M27:N27"/>
    <mergeCell ref="J21:J24"/>
    <mergeCell ref="K21:L24"/>
    <mergeCell ref="M21:N24"/>
    <mergeCell ref="A1:M1"/>
    <mergeCell ref="H7:I7"/>
    <mergeCell ref="B9:B10"/>
    <mergeCell ref="D9:D10"/>
    <mergeCell ref="H9:H10"/>
  </mergeCells>
  <conditionalFormatting sqref="D37">
    <cfRule type="expression" dxfId="1" priority="1">
      <formula>D37=J8</formula>
    </cfRule>
  </conditionalFormatting>
  <printOptions horizontalCentered="1"/>
  <pageMargins left="0.70866141732283472" right="0.70866141732283472" top="0.78740157480314965" bottom="0.78740157480314965" header="0.31496062992125984" footer="0.31496062992125984"/>
  <pageSetup paperSize="9" scale="55"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F18"/>
  <sheetViews>
    <sheetView workbookViewId="0">
      <pane xSplit="1" ySplit="1" topLeftCell="B2" activePane="bottomRight" state="frozen"/>
      <selection activeCell="A2" sqref="A2:B3"/>
      <selection pane="topRight" activeCell="A2" sqref="A2:B3"/>
      <selection pane="bottomLeft" activeCell="A2" sqref="A2:B3"/>
      <selection pane="bottomRight" activeCell="B2" sqref="B2"/>
    </sheetView>
  </sheetViews>
  <sheetFormatPr baseColWidth="10" defaultRowHeight="15" x14ac:dyDescent="0.2"/>
  <cols>
    <col min="1" max="1" width="10.28515625" style="370" bestFit="1" customWidth="1"/>
    <col min="2" max="2" width="14" style="370" bestFit="1" customWidth="1"/>
    <col min="3" max="3" width="19.140625" style="370" bestFit="1" customWidth="1"/>
    <col min="4" max="4" width="13.42578125" style="370" customWidth="1"/>
    <col min="5" max="5" width="12.140625" style="370" bestFit="1" customWidth="1"/>
    <col min="6" max="6" width="12.28515625" style="370" bestFit="1" customWidth="1"/>
    <col min="7" max="16384" width="11.42578125" style="370"/>
  </cols>
  <sheetData>
    <row r="1" spans="1:6" ht="75" x14ac:dyDescent="0.2">
      <c r="A1" s="367" t="s">
        <v>417</v>
      </c>
      <c r="B1" s="368" t="s">
        <v>463</v>
      </c>
      <c r="C1" s="490" t="s">
        <v>464</v>
      </c>
      <c r="D1" s="368" t="s">
        <v>574</v>
      </c>
      <c r="E1" s="368" t="s">
        <v>465</v>
      </c>
      <c r="F1" s="369" t="s">
        <v>466</v>
      </c>
    </row>
    <row r="2" spans="1:6" ht="30" x14ac:dyDescent="0.2">
      <c r="A2" s="402" t="s">
        <v>461</v>
      </c>
      <c r="B2" s="372">
        <v>22.8</v>
      </c>
      <c r="C2" s="489">
        <f>ROUND(B2*1000000/52000,0)</f>
        <v>438</v>
      </c>
      <c r="D2" s="373" t="s">
        <v>423</v>
      </c>
      <c r="E2" s="374">
        <v>5</v>
      </c>
      <c r="F2" s="375">
        <f>(C2-E2)/C2</f>
        <v>0.98858447488584478</v>
      </c>
    </row>
    <row r="3" spans="1:6" ht="30" x14ac:dyDescent="0.2">
      <c r="A3" s="402" t="s">
        <v>436</v>
      </c>
      <c r="B3" s="372">
        <v>54.68</v>
      </c>
      <c r="C3" s="489">
        <f t="shared" ref="C3:C8" si="0">ROUND(B3*1000000/52000,0)</f>
        <v>1052</v>
      </c>
      <c r="D3" s="373" t="s">
        <v>425</v>
      </c>
      <c r="E3" s="374">
        <v>41</v>
      </c>
      <c r="F3" s="375">
        <f>(C3-E3)/C3</f>
        <v>0.96102661596958172</v>
      </c>
    </row>
    <row r="4" spans="1:6" x14ac:dyDescent="0.2">
      <c r="A4" s="371" t="s">
        <v>426</v>
      </c>
      <c r="B4" s="372">
        <v>4.7</v>
      </c>
      <c r="C4" s="489">
        <f t="shared" si="0"/>
        <v>90</v>
      </c>
      <c r="D4" s="376"/>
      <c r="E4" s="377"/>
      <c r="F4" s="378"/>
    </row>
    <row r="5" spans="1:6" ht="30" x14ac:dyDescent="0.2">
      <c r="A5" s="371" t="s">
        <v>427</v>
      </c>
      <c r="B5" s="372">
        <f>8*B4/11</f>
        <v>3.4181818181818184</v>
      </c>
      <c r="C5" s="489">
        <f t="shared" si="0"/>
        <v>66</v>
      </c>
      <c r="D5" s="373" t="s">
        <v>428</v>
      </c>
      <c r="E5" s="379">
        <v>0.2</v>
      </c>
      <c r="F5" s="375">
        <f>(C5-E5)/C5</f>
        <v>0.99696969696969695</v>
      </c>
    </row>
    <row r="6" spans="1:6" ht="30" x14ac:dyDescent="0.2">
      <c r="A6" s="371" t="s">
        <v>429</v>
      </c>
      <c r="B6" s="372">
        <f>B5</f>
        <v>3.4181818181818184</v>
      </c>
      <c r="C6" s="489">
        <f t="shared" si="0"/>
        <v>66</v>
      </c>
      <c r="D6" s="373" t="s">
        <v>430</v>
      </c>
      <c r="E6" s="379">
        <v>11.3</v>
      </c>
      <c r="F6" s="375">
        <f>(C6-E6)/C6</f>
        <v>0.82878787878787885</v>
      </c>
    </row>
    <row r="7" spans="1:6" ht="30" x14ac:dyDescent="0.2">
      <c r="A7" s="402" t="s">
        <v>462</v>
      </c>
      <c r="B7" s="372">
        <v>0.6</v>
      </c>
      <c r="C7" s="489">
        <f t="shared" si="0"/>
        <v>12</v>
      </c>
      <c r="D7" s="373" t="s">
        <v>432</v>
      </c>
      <c r="E7" s="379">
        <v>0.6</v>
      </c>
      <c r="F7" s="375">
        <f>(C7-E7)/C7</f>
        <v>0.95000000000000007</v>
      </c>
    </row>
    <row r="8" spans="1:6" ht="45" x14ac:dyDescent="0.2">
      <c r="A8" s="402" t="s">
        <v>438</v>
      </c>
      <c r="B8" s="372">
        <v>23.9</v>
      </c>
      <c r="C8" s="489">
        <f t="shared" si="0"/>
        <v>460</v>
      </c>
      <c r="D8" s="373" t="s">
        <v>434</v>
      </c>
      <c r="E8" s="374">
        <v>7</v>
      </c>
      <c r="F8" s="375">
        <f>(C8-E8)/C8</f>
        <v>0.98478260869565215</v>
      </c>
    </row>
    <row r="11" spans="1:6" ht="90" x14ac:dyDescent="0.2">
      <c r="A11" s="367" t="s">
        <v>417</v>
      </c>
      <c r="B11" s="368" t="s">
        <v>418</v>
      </c>
      <c r="C11" s="490" t="s">
        <v>435</v>
      </c>
      <c r="D11" s="368" t="s">
        <v>419</v>
      </c>
      <c r="E11" s="498" t="s">
        <v>420</v>
      </c>
      <c r="F11" s="369" t="s">
        <v>421</v>
      </c>
    </row>
    <row r="12" spans="1:6" ht="30" x14ac:dyDescent="0.2">
      <c r="A12" s="371" t="s">
        <v>422</v>
      </c>
      <c r="B12" s="372">
        <v>22.8</v>
      </c>
      <c r="C12" s="489">
        <f>ROUND(B12*1000000/52000,0)</f>
        <v>438</v>
      </c>
      <c r="D12" s="373" t="s">
        <v>423</v>
      </c>
      <c r="E12" s="374">
        <v>5</v>
      </c>
      <c r="F12" s="375">
        <f>(C12-E12)/C12</f>
        <v>0.98858447488584478</v>
      </c>
    </row>
    <row r="13" spans="1:6" ht="30" x14ac:dyDescent="0.2">
      <c r="A13" s="371" t="s">
        <v>424</v>
      </c>
      <c r="B13" s="372">
        <v>54.68</v>
      </c>
      <c r="C13" s="489">
        <f t="shared" ref="C13:C18" si="1">ROUND(B13*1000000/52000,0)</f>
        <v>1052</v>
      </c>
      <c r="D13" s="373" t="s">
        <v>425</v>
      </c>
      <c r="E13" s="374">
        <v>41</v>
      </c>
      <c r="F13" s="375">
        <f t="shared" ref="F13:F18" si="2">(C13-E13)/C13</f>
        <v>0.96102661596958172</v>
      </c>
    </row>
    <row r="14" spans="1:6" x14ac:dyDescent="0.2">
      <c r="A14" s="371" t="s">
        <v>426</v>
      </c>
      <c r="B14" s="372">
        <v>4.7</v>
      </c>
      <c r="C14" s="489">
        <f t="shared" si="1"/>
        <v>90</v>
      </c>
      <c r="D14" s="376"/>
      <c r="E14" s="377"/>
      <c r="F14" s="378"/>
    </row>
    <row r="15" spans="1:6" ht="30" x14ac:dyDescent="0.2">
      <c r="A15" s="371" t="s">
        <v>427</v>
      </c>
      <c r="B15" s="372">
        <f>8*B14/11</f>
        <v>3.4181818181818184</v>
      </c>
      <c r="C15" s="489">
        <f t="shared" si="1"/>
        <v>66</v>
      </c>
      <c r="D15" s="373" t="s">
        <v>428</v>
      </c>
      <c r="E15" s="379">
        <v>0.2</v>
      </c>
      <c r="F15" s="375">
        <f t="shared" si="2"/>
        <v>0.99696969696969695</v>
      </c>
    </row>
    <row r="16" spans="1:6" ht="30" x14ac:dyDescent="0.2">
      <c r="A16" s="371" t="s">
        <v>429</v>
      </c>
      <c r="B16" s="372">
        <f>B15</f>
        <v>3.4181818181818184</v>
      </c>
      <c r="C16" s="489">
        <f t="shared" si="1"/>
        <v>66</v>
      </c>
      <c r="D16" s="373" t="s">
        <v>430</v>
      </c>
      <c r="E16" s="379">
        <v>11.3</v>
      </c>
      <c r="F16" s="375">
        <f t="shared" si="2"/>
        <v>0.82878787878787885</v>
      </c>
    </row>
    <row r="17" spans="1:6" ht="30" x14ac:dyDescent="0.2">
      <c r="A17" s="371" t="s">
        <v>431</v>
      </c>
      <c r="B17" s="372">
        <v>0.6</v>
      </c>
      <c r="C17" s="489">
        <f t="shared" si="1"/>
        <v>12</v>
      </c>
      <c r="D17" s="373" t="s">
        <v>432</v>
      </c>
      <c r="E17" s="379">
        <v>0.6</v>
      </c>
      <c r="F17" s="375">
        <f t="shared" si="2"/>
        <v>0.95000000000000007</v>
      </c>
    </row>
    <row r="18" spans="1:6" ht="45" x14ac:dyDescent="0.2">
      <c r="A18" s="371" t="s">
        <v>433</v>
      </c>
      <c r="B18" s="372">
        <v>23.9</v>
      </c>
      <c r="C18" s="489">
        <f t="shared" si="1"/>
        <v>460</v>
      </c>
      <c r="D18" s="373" t="s">
        <v>434</v>
      </c>
      <c r="E18" s="374">
        <v>7</v>
      </c>
      <c r="F18" s="375">
        <f t="shared" si="2"/>
        <v>0.98478260869565215</v>
      </c>
    </row>
  </sheetData>
  <pageMargins left="0.7" right="0.7" top="0.78740157499999996" bottom="0.78740157499999996"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8046-16A7-493B-9496-BCC81E8E34B0}">
  <sheetPr>
    <tabColor rgb="FF99FF99"/>
  </sheetPr>
  <dimension ref="A1:J29"/>
  <sheetViews>
    <sheetView showGridLines="0" zoomScaleNormal="100" workbookViewId="0">
      <pane xSplit="1" ySplit="2" topLeftCell="B3" activePane="bottomRight" state="frozen"/>
      <selection activeCell="A2" sqref="A2"/>
      <selection pane="topRight" activeCell="A2" sqref="A2"/>
      <selection pane="bottomLeft" activeCell="A2" sqref="A2"/>
      <selection pane="bottomRight" activeCell="B3" sqref="B3"/>
    </sheetView>
  </sheetViews>
  <sheetFormatPr baseColWidth="10" defaultRowHeight="12.75" x14ac:dyDescent="0.2"/>
  <cols>
    <col min="1" max="1" width="7.140625" style="241" customWidth="1"/>
    <col min="2" max="2" width="40.42578125" style="3" customWidth="1"/>
    <col min="3" max="3" width="11.42578125" style="223"/>
    <col min="4" max="4" width="44.85546875" style="223" customWidth="1"/>
    <col min="5" max="5" width="16.85546875" style="11" customWidth="1"/>
    <col min="6" max="6" width="14.5703125" style="11" customWidth="1"/>
    <col min="7" max="7" width="89.28515625" style="241" customWidth="1"/>
    <col min="8" max="8" width="12.42578125" style="241" bestFit="1" customWidth="1"/>
    <col min="9" max="9" width="11.42578125" style="241"/>
    <col min="10" max="10" width="14.7109375" style="241" bestFit="1" customWidth="1"/>
    <col min="11" max="16384" width="11.42578125" style="241"/>
  </cols>
  <sheetData>
    <row r="1" spans="1:10" ht="60" customHeight="1" x14ac:dyDescent="0.2">
      <c r="A1" s="262"/>
      <c r="B1" s="600" t="s">
        <v>349</v>
      </c>
      <c r="C1" s="600"/>
      <c r="D1" s="600"/>
      <c r="E1" s="600"/>
      <c r="F1" s="600"/>
      <c r="G1" s="600"/>
      <c r="I1" s="601" t="s">
        <v>586</v>
      </c>
      <c r="J1" s="601"/>
    </row>
    <row r="2" spans="1:10" ht="38.25" x14ac:dyDescent="0.2">
      <c r="A2" s="244"/>
      <c r="B2" s="245" t="s">
        <v>97</v>
      </c>
      <c r="C2" s="517" t="s">
        <v>96</v>
      </c>
      <c r="D2" s="245" t="s">
        <v>162</v>
      </c>
      <c r="E2" s="517" t="s">
        <v>95</v>
      </c>
      <c r="F2" s="517" t="s">
        <v>161</v>
      </c>
      <c r="G2" s="245" t="s">
        <v>108</v>
      </c>
      <c r="I2" s="525" t="s">
        <v>417</v>
      </c>
      <c r="J2" s="526" t="s">
        <v>587</v>
      </c>
    </row>
    <row r="3" spans="1:10" ht="30" customHeight="1" x14ac:dyDescent="0.2">
      <c r="A3" s="602" t="s">
        <v>121</v>
      </c>
      <c r="B3" s="245" t="s">
        <v>99</v>
      </c>
      <c r="C3" s="517" t="s">
        <v>100</v>
      </c>
      <c r="D3" s="517"/>
      <c r="E3" s="24"/>
      <c r="F3" s="39"/>
      <c r="G3" s="244"/>
      <c r="I3" s="517" t="s">
        <v>100</v>
      </c>
      <c r="J3" s="527">
        <v>420000</v>
      </c>
    </row>
    <row r="4" spans="1:10" ht="30" customHeight="1" x14ac:dyDescent="0.2">
      <c r="A4" s="602"/>
      <c r="B4" s="245" t="s">
        <v>101</v>
      </c>
      <c r="C4" s="517" t="s">
        <v>103</v>
      </c>
      <c r="D4" s="517"/>
      <c r="E4" s="25"/>
      <c r="F4" s="140"/>
      <c r="G4" s="598"/>
      <c r="I4" s="517" t="s">
        <v>103</v>
      </c>
      <c r="J4" s="528">
        <v>52000</v>
      </c>
    </row>
    <row r="5" spans="1:10" ht="30" customHeight="1" x14ac:dyDescent="0.2">
      <c r="A5" s="602"/>
      <c r="B5" s="245" t="s">
        <v>104</v>
      </c>
      <c r="C5" s="517" t="s">
        <v>102</v>
      </c>
      <c r="D5" s="517"/>
      <c r="E5" s="139"/>
      <c r="F5" s="140"/>
      <c r="G5" s="603"/>
      <c r="I5" s="517" t="s">
        <v>102</v>
      </c>
      <c r="J5" s="528">
        <v>52000</v>
      </c>
    </row>
    <row r="6" spans="1:10" ht="30" customHeight="1" x14ac:dyDescent="0.2">
      <c r="A6" s="602"/>
      <c r="B6" s="245" t="s">
        <v>258</v>
      </c>
      <c r="C6" s="517" t="s">
        <v>259</v>
      </c>
      <c r="D6" s="517"/>
      <c r="E6" s="139"/>
      <c r="F6" s="140"/>
      <c r="G6" s="244"/>
      <c r="I6" s="517" t="s">
        <v>259</v>
      </c>
      <c r="J6" s="528">
        <f>J5*3</f>
        <v>156000</v>
      </c>
    </row>
    <row r="7" spans="1:10" ht="30" customHeight="1" x14ac:dyDescent="0.2">
      <c r="A7" s="602"/>
      <c r="B7" s="245" t="s">
        <v>113</v>
      </c>
      <c r="C7" s="517" t="s">
        <v>192</v>
      </c>
      <c r="D7" s="517"/>
      <c r="E7" s="27"/>
      <c r="F7" s="116">
        <f t="shared" ref="F7:F12" si="0">E7/24</f>
        <v>0</v>
      </c>
      <c r="G7" s="244"/>
      <c r="I7" s="529" t="s">
        <v>436</v>
      </c>
      <c r="J7" s="530">
        <v>54.68</v>
      </c>
    </row>
    <row r="8" spans="1:10" ht="30" customHeight="1" x14ac:dyDescent="0.2">
      <c r="A8" s="602"/>
      <c r="B8" s="245" t="s">
        <v>109</v>
      </c>
      <c r="C8" s="517" t="s">
        <v>122</v>
      </c>
      <c r="D8" s="517"/>
      <c r="E8" s="27"/>
      <c r="F8" s="116">
        <f t="shared" si="0"/>
        <v>0</v>
      </c>
      <c r="G8" s="531"/>
      <c r="I8" s="529" t="s">
        <v>461</v>
      </c>
      <c r="J8" s="530">
        <v>22.8</v>
      </c>
    </row>
    <row r="9" spans="1:10" ht="30" customHeight="1" x14ac:dyDescent="0.2">
      <c r="A9" s="602"/>
      <c r="B9" s="245" t="s">
        <v>110</v>
      </c>
      <c r="C9" s="517" t="s">
        <v>123</v>
      </c>
      <c r="D9" s="517"/>
      <c r="E9" s="27"/>
      <c r="F9" s="116">
        <f t="shared" si="0"/>
        <v>0</v>
      </c>
      <c r="G9" s="244"/>
      <c r="I9" s="529" t="s">
        <v>426</v>
      </c>
      <c r="J9" s="530">
        <v>4.7</v>
      </c>
    </row>
    <row r="10" spans="1:10" ht="30" customHeight="1" x14ac:dyDescent="0.2">
      <c r="A10" s="602"/>
      <c r="B10" s="245" t="s">
        <v>111</v>
      </c>
      <c r="C10" s="517" t="s">
        <v>124</v>
      </c>
      <c r="D10" s="517"/>
      <c r="E10" s="27"/>
      <c r="F10" s="116">
        <f t="shared" si="0"/>
        <v>0</v>
      </c>
      <c r="G10" s="366"/>
      <c r="J10" s="10"/>
    </row>
    <row r="11" spans="1:10" ht="30" customHeight="1" x14ac:dyDescent="0.2">
      <c r="A11" s="602"/>
      <c r="B11" s="245" t="s">
        <v>112</v>
      </c>
      <c r="C11" s="517" t="s">
        <v>125</v>
      </c>
      <c r="D11" s="517"/>
      <c r="E11" s="27"/>
      <c r="F11" s="116">
        <f t="shared" si="0"/>
        <v>0</v>
      </c>
      <c r="G11" s="244"/>
      <c r="I11" s="529" t="s">
        <v>462</v>
      </c>
      <c r="J11" s="530">
        <v>0.6</v>
      </c>
    </row>
    <row r="12" spans="1:10" ht="30" customHeight="1" x14ac:dyDescent="0.2">
      <c r="A12" s="602"/>
      <c r="B12" s="245" t="s">
        <v>114</v>
      </c>
      <c r="C12" s="517" t="s">
        <v>136</v>
      </c>
      <c r="D12" s="517"/>
      <c r="E12" s="27"/>
      <c r="F12" s="116">
        <f t="shared" si="0"/>
        <v>0</v>
      </c>
      <c r="G12" s="532"/>
      <c r="I12" s="529" t="s">
        <v>438</v>
      </c>
      <c r="J12" s="530">
        <v>23.9</v>
      </c>
    </row>
    <row r="13" spans="1:10" ht="30" customHeight="1" x14ac:dyDescent="0.2">
      <c r="A13" s="602"/>
      <c r="B13" s="245" t="s">
        <v>105</v>
      </c>
      <c r="C13" s="517" t="s">
        <v>324</v>
      </c>
      <c r="D13" s="517"/>
      <c r="E13" s="28"/>
      <c r="F13" s="40"/>
      <c r="G13" s="244"/>
    </row>
    <row r="14" spans="1:10" ht="30" customHeight="1" x14ac:dyDescent="0.2">
      <c r="A14" s="602"/>
      <c r="B14" s="245" t="s">
        <v>106</v>
      </c>
      <c r="C14" s="517" t="s">
        <v>322</v>
      </c>
      <c r="D14" s="517"/>
      <c r="E14" s="28"/>
      <c r="F14" s="40"/>
      <c r="G14" s="244"/>
    </row>
    <row r="15" spans="1:10" ht="30" customHeight="1" x14ac:dyDescent="0.2">
      <c r="A15" s="602"/>
      <c r="B15" s="245" t="s">
        <v>107</v>
      </c>
      <c r="C15" s="517" t="s">
        <v>323</v>
      </c>
      <c r="D15" s="517"/>
      <c r="E15" s="29"/>
      <c r="F15" s="41"/>
      <c r="G15" s="244"/>
    </row>
    <row r="16" spans="1:10" ht="30" customHeight="1" x14ac:dyDescent="0.2">
      <c r="A16" s="604" t="s">
        <v>120</v>
      </c>
      <c r="B16" s="605"/>
      <c r="C16" s="605"/>
      <c r="D16" s="606"/>
      <c r="E16" s="605"/>
      <c r="F16" s="607"/>
      <c r="G16" s="244"/>
    </row>
    <row r="17" spans="1:7" ht="30" customHeight="1" x14ac:dyDescent="0.2">
      <c r="A17" s="593" t="s">
        <v>171</v>
      </c>
      <c r="B17" s="245" t="s">
        <v>115</v>
      </c>
      <c r="C17" s="517" t="s">
        <v>117</v>
      </c>
      <c r="D17" s="517"/>
      <c r="E17" s="96">
        <v>12</v>
      </c>
      <c r="F17" s="43"/>
      <c r="G17" s="244"/>
    </row>
    <row r="18" spans="1:7" ht="30" customHeight="1" x14ac:dyDescent="0.2">
      <c r="A18" s="594"/>
      <c r="B18" s="245" t="s">
        <v>116</v>
      </c>
      <c r="C18" s="517" t="s">
        <v>118</v>
      </c>
      <c r="D18" s="517"/>
      <c r="E18" s="96">
        <v>20</v>
      </c>
      <c r="F18" s="43"/>
      <c r="G18" s="244"/>
    </row>
    <row r="19" spans="1:7" ht="30" customHeight="1" x14ac:dyDescent="0.2">
      <c r="A19" s="594"/>
      <c r="B19" s="245" t="s">
        <v>127</v>
      </c>
      <c r="C19" s="517" t="s">
        <v>193</v>
      </c>
      <c r="D19" s="595"/>
      <c r="E19" s="117"/>
      <c r="F19" s="116"/>
      <c r="G19" s="598" t="s">
        <v>555</v>
      </c>
    </row>
    <row r="20" spans="1:7" ht="39.950000000000003" customHeight="1" x14ac:dyDescent="0.2">
      <c r="A20" s="594"/>
      <c r="B20" s="487" t="s">
        <v>126</v>
      </c>
      <c r="C20" s="488" t="s">
        <v>132</v>
      </c>
      <c r="D20" s="596"/>
      <c r="E20" s="533"/>
      <c r="F20" s="534"/>
      <c r="G20" s="599"/>
    </row>
    <row r="21" spans="1:7" ht="39.950000000000003" customHeight="1" x14ac:dyDescent="0.2">
      <c r="A21" s="594"/>
      <c r="B21" s="245" t="s">
        <v>556</v>
      </c>
      <c r="C21" s="517" t="s">
        <v>133</v>
      </c>
      <c r="D21" s="596"/>
      <c r="E21" s="117"/>
      <c r="F21" s="116"/>
      <c r="G21" s="599"/>
    </row>
    <row r="22" spans="1:7" ht="39.950000000000003" customHeight="1" x14ac:dyDescent="0.2">
      <c r="A22" s="594"/>
      <c r="B22" s="245" t="s">
        <v>129</v>
      </c>
      <c r="C22" s="517" t="s">
        <v>134</v>
      </c>
      <c r="D22" s="596"/>
      <c r="E22" s="117"/>
      <c r="F22" s="116"/>
      <c r="G22" s="599"/>
    </row>
    <row r="23" spans="1:7" ht="39.950000000000003" customHeight="1" x14ac:dyDescent="0.2">
      <c r="A23" s="594"/>
      <c r="B23" s="245" t="s">
        <v>130</v>
      </c>
      <c r="C23" s="517" t="s">
        <v>135</v>
      </c>
      <c r="D23" s="596"/>
      <c r="E23" s="117"/>
      <c r="F23" s="116"/>
      <c r="G23" s="599"/>
    </row>
    <row r="24" spans="1:7" ht="39.950000000000003" customHeight="1" x14ac:dyDescent="0.2">
      <c r="A24" s="594"/>
      <c r="B24" s="245" t="s">
        <v>131</v>
      </c>
      <c r="C24" s="517" t="s">
        <v>222</v>
      </c>
      <c r="D24" s="597"/>
      <c r="E24" s="117"/>
      <c r="F24" s="116"/>
      <c r="G24" s="401"/>
    </row>
    <row r="25" spans="1:7" ht="60" customHeight="1" x14ac:dyDescent="0.2">
      <c r="A25" s="594"/>
      <c r="B25" s="516" t="s">
        <v>242</v>
      </c>
      <c r="C25" s="517" t="s">
        <v>48</v>
      </c>
      <c r="D25" s="517"/>
      <c r="E25" s="84"/>
      <c r="F25" s="535"/>
      <c r="G25" s="87"/>
    </row>
    <row r="26" spans="1:7" ht="60" customHeight="1" x14ac:dyDescent="0.2">
      <c r="A26" s="594"/>
      <c r="B26" s="245" t="s">
        <v>404</v>
      </c>
      <c r="C26" s="517" t="s">
        <v>216</v>
      </c>
      <c r="D26" s="517"/>
      <c r="E26" s="536"/>
      <c r="F26" s="535"/>
      <c r="G26" s="87"/>
    </row>
    <row r="27" spans="1:7" ht="60" customHeight="1" x14ac:dyDescent="0.2">
      <c r="A27" s="594"/>
      <c r="B27" s="245" t="s">
        <v>219</v>
      </c>
      <c r="C27" s="517" t="s">
        <v>217</v>
      </c>
      <c r="D27" s="517"/>
      <c r="E27" s="118"/>
      <c r="F27" s="535"/>
      <c r="G27" s="401"/>
    </row>
    <row r="28" spans="1:7" ht="60" customHeight="1" x14ac:dyDescent="0.2">
      <c r="A28" s="594"/>
      <c r="B28" s="245" t="s">
        <v>218</v>
      </c>
      <c r="C28" s="517" t="s">
        <v>220</v>
      </c>
      <c r="D28" s="517"/>
      <c r="E28" s="84"/>
      <c r="F28" s="535"/>
      <c r="G28" s="245"/>
    </row>
    <row r="29" spans="1:7" x14ac:dyDescent="0.2">
      <c r="G29" s="220"/>
    </row>
  </sheetData>
  <mergeCells count="8">
    <mergeCell ref="A17:A28"/>
    <mergeCell ref="D19:D24"/>
    <mergeCell ref="G19:G23"/>
    <mergeCell ref="B1:G1"/>
    <mergeCell ref="I1:J1"/>
    <mergeCell ref="A3:A15"/>
    <mergeCell ref="G4:G5"/>
    <mergeCell ref="A16:F16"/>
  </mergeCells>
  <pageMargins left="0.7" right="0.7" top="0.78740157499999996" bottom="0.78740157499999996"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FF"/>
  </sheetPr>
  <dimension ref="A1:H29"/>
  <sheetViews>
    <sheetView showGridLines="0" zoomScaleNormal="100" workbookViewId="0">
      <pane xSplit="1" ySplit="2" topLeftCell="C12" activePane="bottomRight" state="frozen"/>
      <selection activeCell="A2" sqref="A2:B3"/>
      <selection pane="topRight" activeCell="A2" sqref="A2:B3"/>
      <selection pane="bottomLeft" activeCell="A2" sqref="A2:B3"/>
      <selection pane="bottomRight" activeCell="E20" sqref="E20"/>
    </sheetView>
  </sheetViews>
  <sheetFormatPr baseColWidth="10" defaultRowHeight="12.75" x14ac:dyDescent="0.2"/>
  <cols>
    <col min="1" max="1" width="7.140625" style="2" customWidth="1"/>
    <col min="2" max="2" width="40.42578125" style="3" customWidth="1"/>
    <col min="3" max="3" width="11.42578125" style="4"/>
    <col min="4" max="4" width="44.85546875" style="85" customWidth="1"/>
    <col min="5" max="5" width="16.85546875" style="11" customWidth="1"/>
    <col min="6" max="6" width="14.5703125" style="11" customWidth="1"/>
    <col min="7" max="7" width="89.28515625" style="2" customWidth="1"/>
    <col min="8" max="8" width="16.42578125" style="10" bestFit="1" customWidth="1"/>
    <col min="9" max="9" width="12.42578125" style="2" bestFit="1" customWidth="1"/>
    <col min="10" max="16384" width="11.42578125" style="2"/>
  </cols>
  <sheetData>
    <row r="1" spans="1:8" s="241" customFormat="1" ht="60" customHeight="1" x14ac:dyDescent="0.2">
      <c r="A1" s="262"/>
      <c r="B1" s="600" t="s">
        <v>349</v>
      </c>
      <c r="C1" s="600"/>
      <c r="D1" s="600"/>
      <c r="E1" s="600"/>
      <c r="F1" s="600"/>
      <c r="G1" s="600"/>
      <c r="H1" s="275"/>
    </row>
    <row r="2" spans="1:8" ht="38.25" x14ac:dyDescent="0.2">
      <c r="A2" s="8"/>
      <c r="B2" s="15" t="s">
        <v>97</v>
      </c>
      <c r="C2" s="7" t="s">
        <v>96</v>
      </c>
      <c r="D2" s="15" t="s">
        <v>162</v>
      </c>
      <c r="E2" s="7" t="s">
        <v>95</v>
      </c>
      <c r="F2" s="7" t="s">
        <v>161</v>
      </c>
      <c r="G2" s="15" t="s">
        <v>108</v>
      </c>
      <c r="H2" s="10" t="s">
        <v>412</v>
      </c>
    </row>
    <row r="3" spans="1:8" ht="30" customHeight="1" x14ac:dyDescent="0.2">
      <c r="A3" s="602" t="s">
        <v>121</v>
      </c>
      <c r="B3" s="15" t="s">
        <v>99</v>
      </c>
      <c r="C3" s="7" t="s">
        <v>100</v>
      </c>
      <c r="D3" s="7"/>
      <c r="E3" s="24">
        <v>420000</v>
      </c>
      <c r="F3" s="39"/>
      <c r="G3" s="8"/>
    </row>
    <row r="4" spans="1:8" ht="30" customHeight="1" x14ac:dyDescent="0.2">
      <c r="A4" s="602"/>
      <c r="B4" s="15" t="s">
        <v>101</v>
      </c>
      <c r="C4" s="7" t="s">
        <v>103</v>
      </c>
      <c r="D4" s="7"/>
      <c r="E4" s="25">
        <v>52000</v>
      </c>
      <c r="F4" s="115">
        <f>ROUND(Qd/24,-1)</f>
        <v>2170</v>
      </c>
      <c r="G4" s="598" t="s">
        <v>458</v>
      </c>
      <c r="H4" s="523">
        <f>Qd*1000/EW</f>
        <v>123.80952380952381</v>
      </c>
    </row>
    <row r="5" spans="1:8" ht="30" customHeight="1" x14ac:dyDescent="0.2">
      <c r="A5" s="602"/>
      <c r="B5" s="15" t="s">
        <v>104</v>
      </c>
      <c r="C5" s="7" t="s">
        <v>102</v>
      </c>
      <c r="D5" s="7"/>
      <c r="E5" s="26">
        <f>ROUND(Qd/24/3.6,-1)</f>
        <v>600</v>
      </c>
      <c r="F5" s="115">
        <f>F4</f>
        <v>2170</v>
      </c>
      <c r="G5" s="603"/>
    </row>
    <row r="6" spans="1:8" s="130" customFormat="1" ht="30" customHeight="1" x14ac:dyDescent="0.2">
      <c r="A6" s="602"/>
      <c r="B6" s="138" t="s">
        <v>258</v>
      </c>
      <c r="C6" s="136" t="s">
        <v>259</v>
      </c>
      <c r="D6" s="136"/>
      <c r="E6" s="139">
        <f>E5*3</f>
        <v>1800</v>
      </c>
      <c r="F6" s="140">
        <f>Qt*3</f>
        <v>6510</v>
      </c>
      <c r="G6" s="137" t="s">
        <v>576</v>
      </c>
      <c r="H6" s="10"/>
    </row>
    <row r="7" spans="1:8" s="241" customFormat="1" ht="30" customHeight="1" x14ac:dyDescent="0.2">
      <c r="A7" s="602"/>
      <c r="B7" s="15" t="s">
        <v>113</v>
      </c>
      <c r="C7" s="7" t="s">
        <v>192</v>
      </c>
      <c r="D7" s="7"/>
      <c r="E7" s="27">
        <v>54680</v>
      </c>
      <c r="F7" s="116">
        <f t="shared" ref="F7:F12" si="0">E7/24</f>
        <v>2278.3333333333335</v>
      </c>
      <c r="G7" s="248" t="s">
        <v>415</v>
      </c>
      <c r="H7" s="511">
        <f>Bd_CSB_Z*1000/EW</f>
        <v>130.1904761904762</v>
      </c>
    </row>
    <row r="8" spans="1:8" ht="30" customHeight="1" x14ac:dyDescent="0.2">
      <c r="A8" s="602"/>
      <c r="B8" s="15" t="s">
        <v>109</v>
      </c>
      <c r="C8" s="7" t="s">
        <v>122</v>
      </c>
      <c r="D8" s="7"/>
      <c r="E8" s="27">
        <v>22800</v>
      </c>
      <c r="F8" s="116">
        <f t="shared" si="0"/>
        <v>950</v>
      </c>
      <c r="G8" s="509" t="s">
        <v>441</v>
      </c>
      <c r="H8" s="510">
        <f>Bd_BSB_Z*1000/EW</f>
        <v>54.285714285714285</v>
      </c>
    </row>
    <row r="9" spans="1:8" ht="30" customHeight="1" x14ac:dyDescent="0.2">
      <c r="A9" s="602"/>
      <c r="B9" s="15" t="s">
        <v>110</v>
      </c>
      <c r="C9" s="7" t="s">
        <v>123</v>
      </c>
      <c r="D9" s="7"/>
      <c r="E9" s="27">
        <v>4700</v>
      </c>
      <c r="F9" s="116">
        <f t="shared" si="0"/>
        <v>195.83333333333334</v>
      </c>
      <c r="G9" s="8" t="s">
        <v>413</v>
      </c>
      <c r="H9" s="508">
        <f>Bd_TKN_Z*1000/EW</f>
        <v>11.19047619047619</v>
      </c>
    </row>
    <row r="10" spans="1:8" ht="30" customHeight="1" x14ac:dyDescent="0.2">
      <c r="A10" s="602"/>
      <c r="B10" s="15" t="s">
        <v>111</v>
      </c>
      <c r="C10" s="7" t="s">
        <v>124</v>
      </c>
      <c r="D10" s="7"/>
      <c r="E10" s="27">
        <v>0</v>
      </c>
      <c r="F10" s="116">
        <f t="shared" si="0"/>
        <v>0</v>
      </c>
      <c r="G10" s="366" t="s">
        <v>577</v>
      </c>
    </row>
    <row r="11" spans="1:8" ht="30" customHeight="1" x14ac:dyDescent="0.2">
      <c r="A11" s="602"/>
      <c r="B11" s="15" t="s">
        <v>112</v>
      </c>
      <c r="C11" s="7" t="s">
        <v>125</v>
      </c>
      <c r="D11" s="7"/>
      <c r="E11" s="27">
        <v>600</v>
      </c>
      <c r="F11" s="116">
        <f t="shared" si="0"/>
        <v>25</v>
      </c>
      <c r="G11" s="8" t="s">
        <v>414</v>
      </c>
      <c r="H11" s="507">
        <f>Bd_P_Z*1000/EW</f>
        <v>1.4285714285714286</v>
      </c>
    </row>
    <row r="12" spans="1:8" ht="30" customHeight="1" x14ac:dyDescent="0.2">
      <c r="A12" s="602"/>
      <c r="B12" s="15" t="s">
        <v>114</v>
      </c>
      <c r="C12" s="7" t="s">
        <v>136</v>
      </c>
      <c r="D12" s="7"/>
      <c r="E12" s="27">
        <v>23900</v>
      </c>
      <c r="F12" s="116">
        <f t="shared" si="0"/>
        <v>995.83333333333337</v>
      </c>
      <c r="G12" s="521" t="s">
        <v>440</v>
      </c>
      <c r="H12" s="522">
        <f>Bd_AFS_Z*1000/EW</f>
        <v>56.904761904761905</v>
      </c>
    </row>
    <row r="13" spans="1:8" ht="30" customHeight="1" x14ac:dyDescent="0.2">
      <c r="A13" s="602"/>
      <c r="B13" s="15" t="s">
        <v>105</v>
      </c>
      <c r="C13" s="243" t="s">
        <v>324</v>
      </c>
      <c r="D13" s="7"/>
      <c r="E13" s="28">
        <v>68</v>
      </c>
      <c r="F13" s="40"/>
      <c r="G13" s="8"/>
    </row>
    <row r="14" spans="1:8" ht="30" customHeight="1" x14ac:dyDescent="0.2">
      <c r="A14" s="602"/>
      <c r="B14" s="15" t="s">
        <v>106</v>
      </c>
      <c r="C14" s="243" t="s">
        <v>322</v>
      </c>
      <c r="D14" s="7"/>
      <c r="E14" s="28">
        <v>13</v>
      </c>
      <c r="F14" s="40"/>
      <c r="G14" s="8"/>
    </row>
    <row r="15" spans="1:8" ht="30" customHeight="1" x14ac:dyDescent="0.2">
      <c r="A15" s="602"/>
      <c r="B15" s="15" t="s">
        <v>107</v>
      </c>
      <c r="C15" s="243" t="s">
        <v>323</v>
      </c>
      <c r="D15" s="7"/>
      <c r="E15" s="29">
        <v>1</v>
      </c>
      <c r="F15" s="41"/>
      <c r="G15" s="8"/>
    </row>
    <row r="16" spans="1:8" ht="30" customHeight="1" x14ac:dyDescent="0.2">
      <c r="A16" s="604" t="s">
        <v>120</v>
      </c>
      <c r="B16" s="605"/>
      <c r="C16" s="605"/>
      <c r="D16" s="606"/>
      <c r="E16" s="605"/>
      <c r="F16" s="607"/>
      <c r="G16" s="8"/>
    </row>
    <row r="17" spans="1:8" ht="30" customHeight="1" x14ac:dyDescent="0.2">
      <c r="A17" s="593" t="s">
        <v>171</v>
      </c>
      <c r="B17" s="15" t="s">
        <v>115</v>
      </c>
      <c r="C17" s="30" t="s">
        <v>117</v>
      </c>
      <c r="D17" s="30"/>
      <c r="E17" s="96">
        <v>12</v>
      </c>
      <c r="F17" s="43"/>
      <c r="G17" s="8"/>
    </row>
    <row r="18" spans="1:8" ht="30" customHeight="1" x14ac:dyDescent="0.2">
      <c r="A18" s="594"/>
      <c r="B18" s="15" t="s">
        <v>116</v>
      </c>
      <c r="C18" s="30" t="s">
        <v>118</v>
      </c>
      <c r="D18" s="30"/>
      <c r="E18" s="96">
        <v>20</v>
      </c>
      <c r="F18" s="43"/>
      <c r="G18" s="8" t="s">
        <v>119</v>
      </c>
    </row>
    <row r="19" spans="1:8" s="241" customFormat="1" ht="30" customHeight="1" x14ac:dyDescent="0.2">
      <c r="A19" s="594"/>
      <c r="B19" s="15" t="s">
        <v>127</v>
      </c>
      <c r="C19" s="7" t="s">
        <v>193</v>
      </c>
      <c r="D19" s="608"/>
      <c r="E19" s="117">
        <f>Bd_CSB_Z*(1-0.3)</f>
        <v>38276</v>
      </c>
      <c r="F19" s="116">
        <f t="shared" ref="F19:F24" si="1">E19/24</f>
        <v>1594.8333333333333</v>
      </c>
      <c r="G19" s="598" t="s">
        <v>555</v>
      </c>
      <c r="H19" s="10"/>
    </row>
    <row r="20" spans="1:8" ht="39.950000000000003" customHeight="1" x14ac:dyDescent="0.2">
      <c r="A20" s="594"/>
      <c r="B20" s="487" t="s">
        <v>126</v>
      </c>
      <c r="C20" s="488" t="s">
        <v>132</v>
      </c>
      <c r="D20" s="609"/>
      <c r="E20" s="512">
        <f>Bd_BSB_Z*(1-0.3)</f>
        <v>15959.999999999998</v>
      </c>
      <c r="F20" s="513">
        <f t="shared" si="1"/>
        <v>664.99999999999989</v>
      </c>
      <c r="G20" s="599"/>
      <c r="H20" s="2"/>
    </row>
    <row r="21" spans="1:8" ht="39.950000000000003" customHeight="1" x14ac:dyDescent="0.2">
      <c r="A21" s="594"/>
      <c r="B21" s="15" t="s">
        <v>128</v>
      </c>
      <c r="C21" s="7" t="s">
        <v>133</v>
      </c>
      <c r="D21" s="609"/>
      <c r="E21" s="117">
        <f>Bd_TKN_Z*(1-0.1)</f>
        <v>4230</v>
      </c>
      <c r="F21" s="116">
        <f t="shared" si="1"/>
        <v>176.25</v>
      </c>
      <c r="G21" s="599"/>
    </row>
    <row r="22" spans="1:8" ht="39.950000000000003" customHeight="1" x14ac:dyDescent="0.2">
      <c r="A22" s="594"/>
      <c r="B22" s="15" t="s">
        <v>129</v>
      </c>
      <c r="C22" s="7" t="s">
        <v>134</v>
      </c>
      <c r="D22" s="609"/>
      <c r="E22" s="117">
        <f>Bd_NO3_Z</f>
        <v>0</v>
      </c>
      <c r="F22" s="116">
        <f t="shared" si="1"/>
        <v>0</v>
      </c>
      <c r="G22" s="599"/>
    </row>
    <row r="23" spans="1:8" ht="39.950000000000003" customHeight="1" x14ac:dyDescent="0.2">
      <c r="A23" s="594"/>
      <c r="B23" s="15" t="s">
        <v>130</v>
      </c>
      <c r="C23" s="7" t="s">
        <v>135</v>
      </c>
      <c r="D23" s="609"/>
      <c r="E23" s="117">
        <f>Bd_P_Z*(1-0.1)</f>
        <v>540</v>
      </c>
      <c r="F23" s="116">
        <f t="shared" si="1"/>
        <v>22.5</v>
      </c>
      <c r="G23" s="599"/>
    </row>
    <row r="24" spans="1:8" ht="39.950000000000003" customHeight="1" x14ac:dyDescent="0.2">
      <c r="A24" s="594"/>
      <c r="B24" s="15" t="s">
        <v>131</v>
      </c>
      <c r="C24" s="7" t="s">
        <v>222</v>
      </c>
      <c r="D24" s="610"/>
      <c r="E24" s="519">
        <f>Bd_AFS_Z*(1-0.5)</f>
        <v>11950</v>
      </c>
      <c r="F24" s="520">
        <f t="shared" si="1"/>
        <v>497.91666666666669</v>
      </c>
      <c r="G24" s="401"/>
      <c r="H24" s="2"/>
    </row>
    <row r="25" spans="1:8" s="241" customFormat="1" ht="60" customHeight="1" x14ac:dyDescent="0.2">
      <c r="A25" s="594"/>
      <c r="B25" s="13" t="s">
        <v>242</v>
      </c>
      <c r="C25" s="7" t="s">
        <v>48</v>
      </c>
      <c r="D25" s="7"/>
      <c r="E25" s="84">
        <f>ROUND(Bd_CSB_ZB*1000/Qd,0)</f>
        <v>736</v>
      </c>
      <c r="F25" s="43"/>
      <c r="G25" s="87"/>
    </row>
    <row r="26" spans="1:8" ht="63.75" x14ac:dyDescent="0.2">
      <c r="A26" s="594"/>
      <c r="B26" s="15" t="s">
        <v>404</v>
      </c>
      <c r="C26" s="7" t="s">
        <v>216</v>
      </c>
      <c r="D26" s="7"/>
      <c r="E26" s="506">
        <f>Bd_BSB_ZB*1000/Qd</f>
        <v>306.92307692307691</v>
      </c>
      <c r="F26" s="43"/>
      <c r="G26" s="87" t="s">
        <v>579</v>
      </c>
      <c r="H26" s="400">
        <f>SCSB_abb_ZB+XCSB_abb_ZB</f>
        <v>611</v>
      </c>
    </row>
    <row r="27" spans="1:8" ht="60" customHeight="1" x14ac:dyDescent="0.2">
      <c r="A27" s="594"/>
      <c r="B27" s="15" t="s">
        <v>219</v>
      </c>
      <c r="C27" s="7" t="s">
        <v>217</v>
      </c>
      <c r="D27" s="7"/>
      <c r="E27" s="118">
        <f>ROUND(Bd_P_ZB*1000/Qd,1)</f>
        <v>10.4</v>
      </c>
      <c r="F27" s="43"/>
      <c r="G27" s="401"/>
    </row>
    <row r="28" spans="1:8" ht="60" customHeight="1" x14ac:dyDescent="0.2">
      <c r="A28" s="594"/>
      <c r="B28" s="15" t="s">
        <v>218</v>
      </c>
      <c r="C28" s="7" t="s">
        <v>220</v>
      </c>
      <c r="D28" s="7"/>
      <c r="E28" s="518">
        <f>ROUND(E24*1000/Qd,0)</f>
        <v>230</v>
      </c>
      <c r="F28" s="43"/>
      <c r="G28" s="245"/>
      <c r="H28" s="2"/>
    </row>
    <row r="29" spans="1:8" x14ac:dyDescent="0.2">
      <c r="G29" s="220"/>
    </row>
  </sheetData>
  <mergeCells count="7">
    <mergeCell ref="A3:A15"/>
    <mergeCell ref="A16:F16"/>
    <mergeCell ref="B1:G1"/>
    <mergeCell ref="A17:A28"/>
    <mergeCell ref="G4:G5"/>
    <mergeCell ref="D19:D24"/>
    <mergeCell ref="G19:G23"/>
  </mergeCells>
  <pageMargins left="0.7" right="0.7" top="0.78740157499999996" bottom="0.78740157499999996"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FF99"/>
  </sheetPr>
  <dimension ref="A1:N17"/>
  <sheetViews>
    <sheetView showGridLines="0" workbookViewId="0">
      <pane ySplit="2" topLeftCell="A3" activePane="bottomLeft" state="frozen"/>
      <selection activeCell="A2" sqref="A2:B3"/>
      <selection pane="bottomLeft" activeCell="A3" sqref="A3"/>
    </sheetView>
  </sheetViews>
  <sheetFormatPr baseColWidth="10" defaultRowHeight="12.75" x14ac:dyDescent="0.2"/>
  <cols>
    <col min="1" max="1" width="40.42578125" style="3" customWidth="1"/>
    <col min="2" max="2" width="11.42578125" style="223"/>
    <col min="3" max="3" width="14.140625" style="223" customWidth="1"/>
    <col min="4" max="4" width="96.85546875" style="241" customWidth="1"/>
    <col min="5" max="5" width="12.7109375" style="236" customWidth="1"/>
    <col min="6" max="6" width="60.7109375" style="241" customWidth="1"/>
    <col min="7" max="16384" width="11.42578125" style="241"/>
  </cols>
  <sheetData>
    <row r="1" spans="1:14" ht="60" customHeight="1" x14ac:dyDescent="0.2">
      <c r="A1" s="611" t="s">
        <v>374</v>
      </c>
      <c r="B1" s="611"/>
      <c r="C1" s="611"/>
      <c r="D1" s="611"/>
      <c r="E1" s="611"/>
      <c r="F1" s="611"/>
    </row>
    <row r="2" spans="1:14" s="222" customFormat="1" ht="60" customHeight="1" x14ac:dyDescent="0.2">
      <c r="A2" s="245" t="s">
        <v>97</v>
      </c>
      <c r="B2" s="243" t="s">
        <v>96</v>
      </c>
      <c r="C2" s="243" t="s">
        <v>301</v>
      </c>
      <c r="D2" s="245" t="s">
        <v>162</v>
      </c>
      <c r="E2" s="243" t="s">
        <v>160</v>
      </c>
      <c r="F2" s="245" t="s">
        <v>108</v>
      </c>
    </row>
    <row r="3" spans="1:14" ht="80.099999999999994" customHeight="1" x14ac:dyDescent="0.35">
      <c r="A3" s="218" t="s">
        <v>98</v>
      </c>
      <c r="B3" s="243" t="s">
        <v>48</v>
      </c>
      <c r="C3" s="243">
        <v>1</v>
      </c>
      <c r="D3" s="233" t="s">
        <v>304</v>
      </c>
      <c r="E3" s="221"/>
      <c r="F3" s="244" t="s">
        <v>307</v>
      </c>
    </row>
    <row r="4" spans="1:14" ht="60" customHeight="1" x14ac:dyDescent="0.2">
      <c r="A4" s="245" t="s">
        <v>63</v>
      </c>
      <c r="B4" s="243" t="s">
        <v>18</v>
      </c>
      <c r="C4" s="243">
        <v>2</v>
      </c>
      <c r="D4" s="244"/>
      <c r="E4" s="216"/>
      <c r="F4" s="244" t="s">
        <v>65</v>
      </c>
    </row>
    <row r="5" spans="1:14" ht="50.1" customHeight="1" x14ac:dyDescent="0.2">
      <c r="A5" s="245" t="s">
        <v>300</v>
      </c>
      <c r="B5" s="243" t="s">
        <v>47</v>
      </c>
      <c r="C5" s="243">
        <v>7</v>
      </c>
      <c r="D5" s="229" t="s">
        <v>306</v>
      </c>
      <c r="E5" s="235"/>
      <c r="F5" s="244" t="s">
        <v>305</v>
      </c>
    </row>
    <row r="6" spans="1:14" ht="50.1" customHeight="1" x14ac:dyDescent="0.2">
      <c r="A6" s="245" t="s">
        <v>68</v>
      </c>
      <c r="B6" s="243" t="s">
        <v>67</v>
      </c>
      <c r="C6" s="243">
        <v>8</v>
      </c>
      <c r="D6" s="229" t="s">
        <v>302</v>
      </c>
      <c r="E6" s="235"/>
      <c r="F6" s="244" t="s">
        <v>309</v>
      </c>
    </row>
    <row r="7" spans="1:14" ht="80.099999999999994" customHeight="1" x14ac:dyDescent="0.35">
      <c r="A7" s="245" t="s">
        <v>297</v>
      </c>
      <c r="B7" s="245" t="s">
        <v>298</v>
      </c>
      <c r="C7" s="243">
        <v>3</v>
      </c>
      <c r="D7" s="233" t="s">
        <v>552</v>
      </c>
      <c r="E7" s="235"/>
      <c r="F7" s="244" t="s">
        <v>498</v>
      </c>
    </row>
    <row r="8" spans="1:14" ht="80.099999999999994" customHeight="1" x14ac:dyDescent="0.35">
      <c r="A8" s="245" t="s">
        <v>70</v>
      </c>
      <c r="B8" s="243" t="s">
        <v>50</v>
      </c>
      <c r="C8" s="243">
        <v>9</v>
      </c>
      <c r="D8" s="233" t="s">
        <v>553</v>
      </c>
      <c r="E8" s="235"/>
      <c r="F8" s="244" t="s">
        <v>497</v>
      </c>
    </row>
    <row r="9" spans="1:14" ht="50.1" customHeight="1" x14ac:dyDescent="0.2">
      <c r="A9" s="245" t="s">
        <v>69</v>
      </c>
      <c r="B9" s="243" t="s">
        <v>71</v>
      </c>
      <c r="C9" s="243">
        <v>10</v>
      </c>
      <c r="D9" s="232" t="s">
        <v>308</v>
      </c>
      <c r="E9" s="235"/>
      <c r="F9" s="231"/>
      <c r="G9" s="485"/>
      <c r="H9" s="486"/>
      <c r="I9" s="486"/>
      <c r="J9" s="486"/>
      <c r="K9" s="486"/>
      <c r="L9" s="486"/>
      <c r="M9" s="486"/>
      <c r="N9" s="486"/>
    </row>
    <row r="10" spans="1:14" ht="60" customHeight="1" x14ac:dyDescent="0.2">
      <c r="A10" s="245" t="s">
        <v>312</v>
      </c>
      <c r="B10" s="243" t="s">
        <v>51</v>
      </c>
      <c r="C10" s="243">
        <v>11</v>
      </c>
      <c r="D10" s="244"/>
      <c r="E10" s="235"/>
      <c r="F10" s="244"/>
    </row>
    <row r="11" spans="1:14" ht="85.5" customHeight="1" x14ac:dyDescent="0.2">
      <c r="A11" s="245" t="s">
        <v>64</v>
      </c>
      <c r="B11" s="243" t="s">
        <v>52</v>
      </c>
      <c r="C11" s="243">
        <v>4</v>
      </c>
      <c r="D11" s="244"/>
      <c r="E11" s="235"/>
      <c r="F11" s="244" t="s">
        <v>499</v>
      </c>
    </row>
    <row r="12" spans="1:14" ht="50.1" customHeight="1" x14ac:dyDescent="0.2">
      <c r="A12" s="245" t="s">
        <v>311</v>
      </c>
      <c r="B12" s="243" t="s">
        <v>72</v>
      </c>
      <c r="C12" s="243">
        <v>5</v>
      </c>
      <c r="D12" s="229" t="s">
        <v>303</v>
      </c>
      <c r="E12" s="235"/>
      <c r="F12" s="231"/>
    </row>
    <row r="13" spans="1:14" ht="80.099999999999994" customHeight="1" x14ac:dyDescent="0.25">
      <c r="A13" s="245" t="s">
        <v>310</v>
      </c>
      <c r="B13" s="243" t="s">
        <v>49</v>
      </c>
      <c r="C13" s="243">
        <v>6</v>
      </c>
      <c r="D13" s="237"/>
      <c r="E13" s="235"/>
      <c r="F13" s="244" t="s">
        <v>66</v>
      </c>
    </row>
    <row r="14" spans="1:14" ht="60" customHeight="1" x14ac:dyDescent="0.2">
      <c r="A14" s="252" t="s">
        <v>313</v>
      </c>
      <c r="B14" s="246" t="s">
        <v>314</v>
      </c>
      <c r="C14" s="246">
        <v>12</v>
      </c>
      <c r="D14" s="253" t="s">
        <v>315</v>
      </c>
      <c r="E14" s="254"/>
      <c r="F14" s="248"/>
    </row>
    <row r="15" spans="1:14" s="220" customFormat="1" ht="120" customHeight="1" x14ac:dyDescent="0.2">
      <c r="A15" s="154" t="s">
        <v>242</v>
      </c>
      <c r="B15" s="155" t="s">
        <v>48</v>
      </c>
      <c r="C15" s="155">
        <v>13</v>
      </c>
      <c r="D15" s="342" t="s">
        <v>336</v>
      </c>
      <c r="E15" s="343"/>
      <c r="F15" s="175" t="s">
        <v>53</v>
      </c>
    </row>
    <row r="16" spans="1:14" ht="50.1" customHeight="1" x14ac:dyDescent="0.2"/>
    <row r="17" ht="50.1" customHeight="1" x14ac:dyDescent="0.2"/>
  </sheetData>
  <mergeCells count="1">
    <mergeCell ref="A1:F1"/>
  </mergeCells>
  <pageMargins left="0.7" right="0.7" top="0.78740157499999996" bottom="0.78740157499999996"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101</vt:i4>
      </vt:variant>
    </vt:vector>
  </HeadingPairs>
  <TitlesOfParts>
    <vt:vector size="140" baseType="lpstr">
      <vt:lpstr>0 Bemessung VKB</vt:lpstr>
      <vt:lpstr>0 Ablaufplan Bemessung</vt:lpstr>
      <vt:lpstr>0 Verfahrenswahl</vt:lpstr>
      <vt:lpstr>0 Standard Fraktionierg. Tab.</vt:lpstr>
      <vt:lpstr>0 Standard Fraktionierg. Schema</vt:lpstr>
      <vt:lpstr>0 Zulauf-Ablauf-Vergleich</vt:lpstr>
      <vt:lpstr>1 Zulaufwerte Aufgabe</vt:lpstr>
      <vt:lpstr>1 Zulaufwerte</vt:lpstr>
      <vt:lpstr>2 CSB-Bilanz Aufg.</vt:lpstr>
      <vt:lpstr>2a CSB-Bilanz</vt:lpstr>
      <vt:lpstr>2b CSB-TS-Fraktionierg. Schema</vt:lpstr>
      <vt:lpstr>3 N-Bilanz Aufg.</vt:lpstr>
      <vt:lpstr>3 N-Bilanz</vt:lpstr>
      <vt:lpstr>4 P-Bilanz Aufg.</vt:lpstr>
      <vt:lpstr>4 P-Bilanz</vt:lpstr>
      <vt:lpstr>5 tTS,aerob, Anteil VD Aufg.</vt:lpstr>
      <vt:lpstr>5 tTS,aerob, Anteil VD</vt:lpstr>
      <vt:lpstr>6 DeNi &amp; C-Quelle Aufg.</vt:lpstr>
      <vt:lpstr>6 DeNi &amp; C-Quelle</vt:lpstr>
      <vt:lpstr>7 ÜSd, FT, tTS Aufg.</vt:lpstr>
      <vt:lpstr>7 ÜSd, FT, tTS</vt:lpstr>
      <vt:lpstr>8 MTS, VBB, VN, VD Aufg.</vt:lpstr>
      <vt:lpstr>8 MTS, VBB, VN, VD</vt:lpstr>
      <vt:lpstr>9 ISV, tE, TSBB, RV Aufg.</vt:lpstr>
      <vt:lpstr>9 ISV, tE, TSBB, RV</vt:lpstr>
      <vt:lpstr>10 int. Rezi Aufg.</vt:lpstr>
      <vt:lpstr>10 int. Rezi</vt:lpstr>
      <vt:lpstr>11 O2-Zufuhr Aufg.</vt:lpstr>
      <vt:lpstr>11 O2-Zufuhr</vt:lpstr>
      <vt:lpstr>12 Säurekapazität Aufg.</vt:lpstr>
      <vt:lpstr>12 Säurekapazität</vt:lpstr>
      <vt:lpstr>13 qA, qSV, VSV, ANB Aufg.</vt:lpstr>
      <vt:lpstr>13 qA, qSV, VSV, ANB</vt:lpstr>
      <vt:lpstr>14 NKB Aufg.</vt:lpstr>
      <vt:lpstr>14 NKB</vt:lpstr>
      <vt:lpstr>Erhöhung RV</vt:lpstr>
      <vt:lpstr>Soll-Ist-Vergleich</vt:lpstr>
      <vt:lpstr>Kontrollrechnung int. Rezi</vt:lpstr>
      <vt:lpstr>Beckenaufteilung</vt:lpstr>
      <vt:lpstr>ANB</vt:lpstr>
      <vt:lpstr>Bd_AFS_Z</vt:lpstr>
      <vt:lpstr>Bd_AFS_ZB</vt:lpstr>
      <vt:lpstr>Bd_BSB_Dos</vt:lpstr>
      <vt:lpstr>Bd_BSB_Z</vt:lpstr>
      <vt:lpstr>Bd_BSB_ZB</vt:lpstr>
      <vt:lpstr>Bd_CSB_Z</vt:lpstr>
      <vt:lpstr>Bd_CSB_ZB</vt:lpstr>
      <vt:lpstr>Bd_NO3_Z</vt:lpstr>
      <vt:lpstr>Bd_NO3_ZB</vt:lpstr>
      <vt:lpstr>Bd_P_Z</vt:lpstr>
      <vt:lpstr>Bd_P_ZB</vt:lpstr>
      <vt:lpstr>Bd_TKN_Z</vt:lpstr>
      <vt:lpstr>Bd_TKN_ZB</vt:lpstr>
      <vt:lpstr>BR_BSB</vt:lpstr>
      <vt:lpstr>BTS_BSB</vt:lpstr>
      <vt:lpstr>CBSB_ZB</vt:lpstr>
      <vt:lpstr>CCSB_abb_ZB</vt:lpstr>
      <vt:lpstr>CCSB_ÜW</vt:lpstr>
      <vt:lpstr>CCSB_ZB</vt:lpstr>
      <vt:lpstr>CN_ZB</vt:lpstr>
      <vt:lpstr>CP_AN</vt:lpstr>
      <vt:lpstr>CP_ÜW</vt:lpstr>
      <vt:lpstr>CP_ZB</vt:lpstr>
      <vt:lpstr>CS</vt:lpstr>
      <vt:lpstr>CTKN_ZB</vt:lpstr>
      <vt:lpstr>Cx</vt:lpstr>
      <vt:lpstr>erf_alpha_OC</vt:lpstr>
      <vt:lpstr>EW</vt:lpstr>
      <vt:lpstr>fC</vt:lpstr>
      <vt:lpstr>fN</vt:lpstr>
      <vt:lpstr>FT</vt:lpstr>
      <vt:lpstr>h_1</vt:lpstr>
      <vt:lpstr>h_2</vt:lpstr>
      <vt:lpstr>h_3</vt:lpstr>
      <vt:lpstr>h_4</vt:lpstr>
      <vt:lpstr>ISV</vt:lpstr>
      <vt:lpstr>MTS_BB</vt:lpstr>
      <vt:lpstr>OV</vt:lpstr>
      <vt:lpstr>OVd_C</vt:lpstr>
      <vt:lpstr>OVd_D</vt:lpstr>
      <vt:lpstr>OVd_N</vt:lpstr>
      <vt:lpstr>OVh</vt:lpstr>
      <vt:lpstr>qA</vt:lpstr>
      <vt:lpstr>Qd</vt:lpstr>
      <vt:lpstr>Qm</vt:lpstr>
      <vt:lpstr>qSV</vt:lpstr>
      <vt:lpstr>Qt</vt:lpstr>
      <vt:lpstr>QÜS_d</vt:lpstr>
      <vt:lpstr>RF</vt:lpstr>
      <vt:lpstr>RV</vt:lpstr>
      <vt:lpstr>SanorgN_ÜW</vt:lpstr>
      <vt:lpstr>SCSB_abb_ZB</vt:lpstr>
      <vt:lpstr>SCSB_Dos</vt:lpstr>
      <vt:lpstr>SCSB_inert_AN</vt:lpstr>
      <vt:lpstr>SCSB_inert_ZB</vt:lpstr>
      <vt:lpstr>SCSB_ZB</vt:lpstr>
      <vt:lpstr>SF</vt:lpstr>
      <vt:lpstr>SFe_3</vt:lpstr>
      <vt:lpstr>SKS_AB</vt:lpstr>
      <vt:lpstr>SNH4_AN</vt:lpstr>
      <vt:lpstr>SNH4_N</vt:lpstr>
      <vt:lpstr>SNH4_Schlammw</vt:lpstr>
      <vt:lpstr>SNH4_ZB</vt:lpstr>
      <vt:lpstr>SNO2_ZB</vt:lpstr>
      <vt:lpstr>SNO3_AN</vt:lpstr>
      <vt:lpstr>SNO3_D</vt:lpstr>
      <vt:lpstr>SNO3_D_Ext</vt:lpstr>
      <vt:lpstr>SNO3_ZB</vt:lpstr>
      <vt:lpstr>SorgN_AN</vt:lpstr>
      <vt:lpstr>t_R</vt:lpstr>
      <vt:lpstr>tE</vt:lpstr>
      <vt:lpstr>TSBB</vt:lpstr>
      <vt:lpstr>TSBS</vt:lpstr>
      <vt:lpstr>TSRS</vt:lpstr>
      <vt:lpstr>TSÜS</vt:lpstr>
      <vt:lpstr>tTS</vt:lpstr>
      <vt:lpstr>tTS_aerob_Bem</vt:lpstr>
      <vt:lpstr>tTS_Bem</vt:lpstr>
      <vt:lpstr>ÜSC_BSB</vt:lpstr>
      <vt:lpstr>ÜSd</vt:lpstr>
      <vt:lpstr>ÜSd_C</vt:lpstr>
      <vt:lpstr>ÜSd_P</vt:lpstr>
      <vt:lpstr>VBB</vt:lpstr>
      <vt:lpstr>VD</vt:lpstr>
      <vt:lpstr>VD_VBB_Quotient</vt:lpstr>
      <vt:lpstr>VN</vt:lpstr>
      <vt:lpstr>VSV</vt:lpstr>
      <vt:lpstr>XanorgTS_ZB</vt:lpstr>
      <vt:lpstr>XCSB_abb_ZB</vt:lpstr>
      <vt:lpstr>XCSB_BM</vt:lpstr>
      <vt:lpstr>XCSB_inert_BM</vt:lpstr>
      <vt:lpstr>XCSB_inert_ZB</vt:lpstr>
      <vt:lpstr>XCSB_ÜS</vt:lpstr>
      <vt:lpstr>XCSB_ZB</vt:lpstr>
      <vt:lpstr>XorgN_BM</vt:lpstr>
      <vt:lpstr>XorgTS_ZB</vt:lpstr>
      <vt:lpstr>XP_BioP</vt:lpstr>
      <vt:lpstr>XP_BM</vt:lpstr>
      <vt:lpstr>XP_Fäll</vt:lpstr>
      <vt:lpstr>XTS_ZB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Olaf Sterger</dc:creator>
  <cp:lastModifiedBy>Olaf Sterger</cp:lastModifiedBy>
  <cp:lastPrinted>2019-10-05T17:48:34Z</cp:lastPrinted>
  <dcterms:created xsi:type="dcterms:W3CDTF">2010-02-10T08:27:29Z</dcterms:created>
  <dcterms:modified xsi:type="dcterms:W3CDTF">2022-10-15T15:18:43Z</dcterms:modified>
</cp:coreProperties>
</file>